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95" tabRatio="947" activeTab="0"/>
  </bookViews>
  <sheets>
    <sheet name="Cover" sheetId="1" r:id="rId1"/>
    <sheet name="Contents" sheetId="2" r:id="rId2"/>
    <sheet name="1. Pipeline information" sheetId="3" r:id="rId3"/>
    <sheet name="1.1 Financial summary"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Shared supporting assets" sheetId="12" r:id="rId12"/>
    <sheet name="4 Recovered capital" sheetId="13" r:id="rId13"/>
    <sheet name="4.1 Pipelines capex" sheetId="14" r:id="rId14"/>
    <sheet name="5. Weighted average price" sheetId="15" r:id="rId15"/>
    <sheet name="5.1 Exempt WAP services" sheetId="16" r:id="rId16"/>
    <sheet name="5.2 Actual Pricing" sheetId="17" r:id="rId17"/>
    <sheet name="6. Notes" sheetId="18" r:id="rId18"/>
    <sheet name="Amendment record" sheetId="19" r:id="rId19"/>
    <sheet name="Amendment record AGN" sheetId="20" r:id="rId20"/>
    <sheet name="Sheet1" sheetId="21" state="hidden" r:id="rId21"/>
  </sheets>
  <externalReferences>
    <externalReference r:id="rId24"/>
    <externalReference r:id="rId25"/>
    <externalReference r:id="rId26"/>
    <externalReference r:id="rId27"/>
    <externalReference r:id="rId28"/>
  </externalReferences>
  <definedNames>
    <definedName name="_xlfn.IFERROR" hidden="1">#NAME?</definedName>
    <definedName name="_xlfn.SINGLE" hidden="1">#NAME?</definedName>
    <definedName name="ABN">'Cover'!$C$17</definedName>
    <definedName name="_xlnm.Print_Area" localSheetId="2">'1. Pipeline information'!$A$1:$E$37</definedName>
    <definedName name="_xlnm.Print_Area" localSheetId="4">'2. Revenues and expenses'!$A$1:$J$41</definedName>
    <definedName name="_xlnm.Print_Area" localSheetId="5">'2.1 Revenue by service'!$A$1:$J$25</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assets'!$A$1:$N$91</definedName>
    <definedName name="_xlnm.Print_Area" localSheetId="10">'3.1 Pipeline asset useful life'!$A$1:$G$31</definedName>
    <definedName name="_xlnm.Print_Area" localSheetId="11">'3.2 Shared supporting assets'!$A$1:$H$42</definedName>
    <definedName name="_xlnm.Print_Area" localSheetId="12">'4 Recovered capital'!$A$1:$BL$46</definedName>
    <definedName name="_xlnm.Print_Area" localSheetId="13">'4.1 Pipelines capex'!$A$1:$F$35</definedName>
    <definedName name="_xlnm.Print_Area" localSheetId="14">'5. Weighted average price'!$A$1:$BJ$22</definedName>
    <definedName name="_xlnm.Print_Area" localSheetId="15">'5.1 Exempt WAP services'!$A$1:$F$15</definedName>
    <definedName name="_xlnm.Print_Area" localSheetId="16">'5.2 Actual Pricing'!$A$1:$E$4</definedName>
    <definedName name="_xlnm.Print_Area" localSheetId="17">'6. Notes'!$A$1:$E$4</definedName>
    <definedName name="_xlnm.Print_Area" localSheetId="1">'Contents'!$B$2:$I$40</definedName>
    <definedName name="_xlnm.Print_Area" localSheetId="0">'Cover'!$A$1:$J$43</definedName>
    <definedName name="_xlnm.Print_Area" localSheetId="20">'Sheet1'!$A$1:$N$33</definedName>
    <definedName name="Tradingname" localSheetId="4">'[5]Cover'!$C$15</definedName>
    <definedName name="Tradingname" localSheetId="9">'[4]Cover'!$C$15</definedName>
    <definedName name="Tradingname" localSheetId="19">'[2]Cover'!$C$15</definedName>
    <definedName name="Tradingname">'Cover'!$C$15</definedName>
    <definedName name="vanilla">'[3]WACC'!$F$27</definedName>
    <definedName name="YEAR">'[1]Outcomes'!$B$3</definedName>
    <definedName name="Yearending" localSheetId="4">'[5]Cover'!$C$23</definedName>
    <definedName name="Yearending">'Cover'!$C$23</definedName>
    <definedName name="Yearstart">'Cover'!$C$21</definedName>
  </definedNames>
  <calcPr fullCalcOnLoad="1"/>
</workbook>
</file>

<file path=xl/comments10.xml><?xml version="1.0" encoding="utf-8"?>
<comments xmlns="http://schemas.openxmlformats.org/spreadsheetml/2006/main">
  <authors>
    <author>Tong, Albert</author>
    <author>Michael Dunnett</author>
  </authors>
  <commentList>
    <comment ref="D9" authorId="0">
      <text>
        <r>
          <rPr>
            <b/>
            <sz val="9"/>
            <rFont val="Tahoma"/>
            <family val="2"/>
          </rPr>
          <t>AER:</t>
        </r>
        <r>
          <rPr>
            <sz val="9"/>
            <rFont val="Tahoma"/>
            <family val="2"/>
          </rPr>
          <t xml:space="preserve">
RAB at end of first year end since RAB established</t>
        </r>
      </text>
    </comment>
    <comment ref="E9" authorId="0">
      <text>
        <r>
          <rPr>
            <b/>
            <sz val="9"/>
            <rFont val="Tahoma"/>
            <family val="2"/>
          </rPr>
          <t>AER:</t>
        </r>
        <r>
          <rPr>
            <sz val="9"/>
            <rFont val="Tahoma"/>
            <family val="2"/>
          </rPr>
          <t xml:space="preserve">
RAB values at reference date plus 1 year</t>
        </r>
      </text>
    </comment>
    <comment ref="F9" authorId="0">
      <text>
        <r>
          <rPr>
            <b/>
            <sz val="9"/>
            <rFont val="Tahoma"/>
            <family val="2"/>
          </rPr>
          <t>AER:</t>
        </r>
        <r>
          <rPr>
            <sz val="9"/>
            <rFont val="Tahoma"/>
            <family val="2"/>
          </rPr>
          <t xml:space="preserve">
RAB year 2</t>
        </r>
      </text>
    </comment>
    <comment ref="G9" authorId="0">
      <text>
        <r>
          <rPr>
            <b/>
            <sz val="9"/>
            <rFont val="Tahoma"/>
            <family val="2"/>
          </rPr>
          <t>AER:</t>
        </r>
        <r>
          <rPr>
            <sz val="9"/>
            <rFont val="Tahoma"/>
            <family val="2"/>
          </rPr>
          <t xml:space="preserve">
RAB year 3</t>
        </r>
      </text>
    </comment>
    <comment ref="M9" authorId="0">
      <text>
        <r>
          <rPr>
            <b/>
            <sz val="9"/>
            <rFont val="Tahoma"/>
            <family val="2"/>
          </rPr>
          <t>AER:</t>
        </r>
        <r>
          <rPr>
            <sz val="9"/>
            <rFont val="Tahoma"/>
            <family val="2"/>
          </rPr>
          <t xml:space="preserve">
Service providers are to insert columns between columns G and H  as required so that every year between the date the RAB was established and the reporting period is reported.
</t>
        </r>
      </text>
    </comment>
    <comment ref="C86" authorId="1">
      <text>
        <r>
          <rPr>
            <sz val="9"/>
            <rFont val="Tahoma"/>
            <family val="2"/>
          </rPr>
          <t>Include only if allowed in the RFM Guidleline</t>
        </r>
      </text>
    </comment>
    <comment ref="C90" authorId="0">
      <text>
        <r>
          <rPr>
            <sz val="9"/>
            <rFont val="Tahoma"/>
            <family val="2"/>
          </rPr>
          <t>Enter the CPI % that is used to index the RAB as determined in accordance with the RFM Guideline</t>
        </r>
      </text>
    </comment>
  </commentList>
</comments>
</file>

<file path=xl/comments13.xml><?xml version="1.0" encoding="utf-8"?>
<comments xmlns="http://schemas.openxmlformats.org/spreadsheetml/2006/main">
  <authors>
    <author>De Mamiel, Helen</author>
  </authors>
  <commentList>
    <comment ref="D14"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1"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8"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List>
</comments>
</file>

<file path=xl/comments4.xml><?xml version="1.0" encoding="utf-8"?>
<comments xmlns="http://schemas.openxmlformats.org/spreadsheetml/2006/main">
  <authors>
    <author>Tong, Albert</author>
    <author>Joe D'Odorico</author>
  </authors>
  <commentList>
    <comment ref="B19" authorId="0">
      <text>
        <r>
          <rPr>
            <b/>
            <sz val="9"/>
            <rFont val="Tahoma"/>
            <family val="2"/>
          </rPr>
          <t>AER:</t>
        </r>
        <r>
          <rPr>
            <sz val="9"/>
            <rFont val="Tahoma"/>
            <family val="2"/>
          </rPr>
          <t xml:space="preserve">
This is an estimated indicative Return on Capital if this pipeline has been under full regulation ith a previously establish asset base and that the AER have validated all inputs as accurate and conforming.</t>
        </r>
      </text>
    </comment>
    <comment ref="B23" authorId="0">
      <text>
        <r>
          <rPr>
            <b/>
            <sz val="9"/>
            <rFont val="Tahoma"/>
            <family val="2"/>
          </rPr>
          <t xml:space="preserve">AER:
</t>
        </r>
        <r>
          <rPr>
            <sz val="9"/>
            <rFont val="Tahoma"/>
            <family val="2"/>
          </rPr>
          <t>This is an estimated indicative revenue if this pipeline has been under full regulation with a previously establish asset base and that the AER have validated all inputs as accurate and conforming</t>
        </r>
        <r>
          <rPr>
            <b/>
            <sz val="9"/>
            <rFont val="Tahoma"/>
            <family val="2"/>
          </rPr>
          <t>.</t>
        </r>
        <r>
          <rPr>
            <sz val="9"/>
            <rFont val="Tahoma"/>
            <family val="2"/>
          </rPr>
          <t xml:space="preserve">
</t>
        </r>
      </text>
    </comment>
    <comment ref="B18" authorId="0">
      <text>
        <r>
          <rPr>
            <b/>
            <sz val="9"/>
            <rFont val="Tahoma"/>
            <family val="2"/>
          </rPr>
          <t xml:space="preserve">AER:
</t>
        </r>
        <r>
          <rPr>
            <sz val="9"/>
            <rFont val="Tahoma"/>
            <family val="2"/>
          </rPr>
          <t xml:space="preserve">This is an estimated indicative Building Block Revenue if this pipeline has been under full regulation with a previously establish asset base and that the AER have validated all inputs as accurate and conforming.
</t>
        </r>
      </text>
    </comment>
    <comment ref="B29" authorId="0">
      <text>
        <r>
          <rPr>
            <b/>
            <sz val="9"/>
            <rFont val="Tahoma"/>
            <family val="2"/>
          </rPr>
          <t xml:space="preserve">AER:
</t>
        </r>
        <r>
          <rPr>
            <sz val="9"/>
            <rFont val="Tahoma"/>
            <family val="2"/>
          </rPr>
          <t xml:space="preserve">As stated in section 5 of the reporting guideline, the reporting of RCM value is only applicable on pipelines without a previous establish asset base from a regulator.
</t>
        </r>
      </text>
    </comment>
    <comment ref="D6" authorId="0">
      <text>
        <r>
          <rPr>
            <b/>
            <sz val="9"/>
            <rFont val="Tahoma"/>
            <family val="2"/>
          </rPr>
          <t>AER:</t>
        </r>
        <r>
          <rPr>
            <sz val="9"/>
            <rFont val="Tahoma"/>
            <family val="2"/>
          </rPr>
          <t xml:space="preserve">
RAB at end of first year end since RAB established</t>
        </r>
      </text>
    </comment>
    <comment ref="E6" authorId="0">
      <text>
        <r>
          <rPr>
            <b/>
            <sz val="9"/>
            <rFont val="Tahoma"/>
            <family val="2"/>
          </rPr>
          <t>AER:</t>
        </r>
        <r>
          <rPr>
            <sz val="9"/>
            <rFont val="Tahoma"/>
            <family val="2"/>
          </rPr>
          <t xml:space="preserve">
RAB values at reference date plus 1 year</t>
        </r>
      </text>
    </comment>
    <comment ref="F6" authorId="0">
      <text>
        <r>
          <rPr>
            <b/>
            <sz val="9"/>
            <rFont val="Tahoma"/>
            <family val="2"/>
          </rPr>
          <t>AER:</t>
        </r>
        <r>
          <rPr>
            <sz val="9"/>
            <rFont val="Tahoma"/>
            <family val="2"/>
          </rPr>
          <t xml:space="preserve">
RAB year 2</t>
        </r>
      </text>
    </comment>
    <comment ref="G6" authorId="0">
      <text>
        <r>
          <rPr>
            <b/>
            <sz val="9"/>
            <rFont val="Tahoma"/>
            <family val="2"/>
          </rPr>
          <t>AER:</t>
        </r>
        <r>
          <rPr>
            <sz val="9"/>
            <rFont val="Tahoma"/>
            <family val="2"/>
          </rPr>
          <t xml:space="preserve">
RAB year 3</t>
        </r>
      </text>
    </comment>
    <comment ref="M6" authorId="0">
      <text>
        <r>
          <rPr>
            <b/>
            <sz val="9"/>
            <rFont val="Tahoma"/>
            <family val="2"/>
          </rPr>
          <t>AGN: Jan - Dec 2019</t>
        </r>
        <r>
          <rPr>
            <sz val="9"/>
            <rFont val="Tahoma"/>
            <family val="2"/>
          </rPr>
          <t xml:space="preserve">.
</t>
        </r>
      </text>
    </comment>
    <comment ref="H6" authorId="1">
      <text>
        <r>
          <rPr>
            <b/>
            <sz val="9"/>
            <rFont val="Tahoma"/>
            <family val="2"/>
          </rPr>
          <t xml:space="preserve">AGN: 
</t>
        </r>
        <r>
          <rPr>
            <sz val="9"/>
            <rFont val="Tahoma"/>
            <family val="2"/>
          </rPr>
          <t xml:space="preserve">6 months only between Jul and Dec 2014
 </t>
        </r>
        <r>
          <rPr>
            <sz val="9"/>
            <rFont val="Tahoma"/>
            <family val="2"/>
          </rPr>
          <t xml:space="preserve">
</t>
        </r>
      </text>
    </comment>
    <comment ref="I6" authorId="1">
      <text>
        <r>
          <rPr>
            <b/>
            <sz val="9"/>
            <rFont val="Tahoma"/>
            <family val="2"/>
          </rPr>
          <t xml:space="preserve">AGN: </t>
        </r>
        <r>
          <rPr>
            <sz val="9"/>
            <rFont val="Tahoma"/>
            <family val="2"/>
          </rPr>
          <t>Jan - Dec 2015</t>
        </r>
        <r>
          <rPr>
            <sz val="9"/>
            <rFont val="Tahoma"/>
            <family val="2"/>
          </rPr>
          <t xml:space="preserve">
</t>
        </r>
      </text>
    </comment>
    <comment ref="J6" authorId="1">
      <text>
        <r>
          <rPr>
            <b/>
            <sz val="9"/>
            <rFont val="Tahoma"/>
            <family val="2"/>
          </rPr>
          <t xml:space="preserve">AGN: Jan - Dec 2016
</t>
        </r>
        <r>
          <rPr>
            <sz val="9"/>
            <rFont val="Tahoma"/>
            <family val="2"/>
          </rPr>
          <t xml:space="preserve">
</t>
        </r>
      </text>
    </comment>
    <comment ref="K6" authorId="1">
      <text>
        <r>
          <rPr>
            <b/>
            <sz val="9"/>
            <rFont val="Tahoma"/>
            <family val="2"/>
          </rPr>
          <t>AGN: Jan -Dec 2017</t>
        </r>
        <r>
          <rPr>
            <sz val="9"/>
            <rFont val="Tahoma"/>
            <family val="2"/>
          </rPr>
          <t xml:space="preserve">
</t>
        </r>
      </text>
    </comment>
    <comment ref="L6" authorId="1">
      <text>
        <r>
          <rPr>
            <b/>
            <sz val="9"/>
            <rFont val="Tahoma"/>
            <family val="2"/>
          </rPr>
          <t>AGN: Jan - Dec 2018</t>
        </r>
        <r>
          <rPr>
            <sz val="9"/>
            <rFont val="Tahoma"/>
            <family val="2"/>
          </rPr>
          <t xml:space="preserve">
</t>
        </r>
      </text>
    </comment>
    <comment ref="N6" authorId="1">
      <text>
        <r>
          <rPr>
            <b/>
            <sz val="9"/>
            <rFont val="Tahoma"/>
            <family val="2"/>
          </rPr>
          <t>AGN: Jan-Dec 2020</t>
        </r>
        <r>
          <rPr>
            <sz val="9"/>
            <rFont val="Tahoma"/>
            <family val="2"/>
          </rPr>
          <t xml:space="preserve">
</t>
        </r>
      </text>
    </comment>
    <comment ref="O6" authorId="1">
      <text>
        <r>
          <rPr>
            <b/>
            <sz val="9"/>
            <rFont val="Tahoma"/>
            <family val="2"/>
          </rPr>
          <t>AGN: Jan - Dec 2021</t>
        </r>
        <r>
          <rPr>
            <sz val="9"/>
            <rFont val="Tahoma"/>
            <family val="2"/>
          </rPr>
          <t xml:space="preserve">
</t>
        </r>
      </text>
    </comment>
  </commentList>
</comments>
</file>

<file path=xl/sharedStrings.xml><?xml version="1.0" encoding="utf-8"?>
<sst xmlns="http://schemas.openxmlformats.org/spreadsheetml/2006/main" count="1024" uniqueCount="508">
  <si>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</si>
  <si>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</si>
  <si>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</si>
  <si>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</si>
  <si>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</si>
  <si>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</si>
  <si>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</si>
  <si>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</si>
  <si>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</si>
  <si>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</si>
  <si>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</si>
  <si>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</si>
  <si>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</si>
  <si>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</si>
  <si>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</si>
  <si>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</si>
  <si>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</si>
  <si>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</si>
  <si>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</si>
  <si>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</si>
  <si>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</si>
  <si>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</si>
  <si>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</si>
  <si>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</si>
  <si>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</si>
  <si>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</si>
  <si>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</si>
  <si>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</si>
  <si>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</si>
  <si>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</si>
  <si>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</si>
  <si>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</si>
  <si>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</si>
  <si>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</si>
  <si>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</si>
  <si>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</si>
  <si>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</si>
  <si>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</si>
  <si>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</si>
  <si>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</si>
  <si>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</si>
  <si>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</si>
  <si>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</si>
  <si>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</si>
  <si>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</si>
  <si>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</si>
  <si>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</si>
  <si>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</si>
  <si>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</si>
  <si>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</si>
  <si>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</si>
  <si>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</si>
  <si>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</si>
  <si>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</si>
  <si>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</si>
  <si>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</si>
  <si>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</si>
  <si>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</si>
  <si>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</si>
  <si>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</si>
  <si>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</si>
  <si>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</si>
  <si>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</si>
  <si>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</si>
  <si>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</si>
  <si>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</si>
  <si>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</si>
  <si>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</si>
  <si>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</si>
  <si>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</si>
  <si>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</si>
  <si>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Closing pipeline carrying value</t>
  </si>
  <si>
    <t>Improvements capitalised</t>
  </si>
  <si>
    <t>% allocated to pipeline</t>
  </si>
  <si>
    <t>Income statement account applied to</t>
  </si>
  <si>
    <t>Construction cost</t>
  </si>
  <si>
    <t>Additions</t>
  </si>
  <si>
    <t>Cost base</t>
  </si>
  <si>
    <t>Total pipeline assets</t>
  </si>
  <si>
    <t>Disposal (at cost)</t>
  </si>
  <si>
    <t>Backhaul services</t>
  </si>
  <si>
    <t>Capacity trading service</t>
  </si>
  <si>
    <t>In pipe trading service</t>
  </si>
  <si>
    <t>Year</t>
  </si>
  <si>
    <t>Asset description</t>
  </si>
  <si>
    <t>Compressors</t>
  </si>
  <si>
    <t>Closing compressors carrying value</t>
  </si>
  <si>
    <t>Odourant plants</t>
  </si>
  <si>
    <t>Closing odourant plants carrying value</t>
  </si>
  <si>
    <t>Closing buildings carrying value</t>
  </si>
  <si>
    <t>Total allocated to pipeline excluding related parties</t>
  </si>
  <si>
    <t>Total related party amounts allocated to pipeline</t>
  </si>
  <si>
    <t>Total exempt services</t>
  </si>
  <si>
    <t>Capacity based</t>
  </si>
  <si>
    <t>Volumetric based</t>
  </si>
  <si>
    <t>Total assets</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</si>
  <si>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</si>
  <si>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</si>
  <si>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</si>
  <si>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</si>
  <si>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</si>
  <si>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</si>
  <si>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</si>
  <si>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</si>
  <si>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</si>
  <si>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</si>
  <si>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</si>
  <si>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</si>
  <si>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</si>
  <si>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</si>
  <si>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</si>
  <si>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</si>
  <si>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</si>
  <si>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</si>
  <si>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</si>
  <si>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</si>
  <si>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</si>
  <si>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</si>
  <si>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</si>
  <si>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</si>
  <si>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</si>
  <si>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</si>
  <si>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Closing shared property, plant and equipment</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</si>
  <si>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</si>
  <si>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</si>
  <si>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</si>
  <si>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</si>
  <si>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</si>
  <si>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</si>
  <si>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</si>
  <si>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</si>
  <si>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</si>
  <si>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</si>
  <si>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</si>
  <si>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</si>
  <si>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</si>
  <si>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</si>
  <si>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</si>
  <si>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</si>
  <si>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</si>
  <si>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</si>
  <si>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</si>
  <si>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</si>
  <si>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</si>
  <si>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</si>
  <si>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</si>
  <si>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</si>
  <si>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</si>
  <si>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Closing Metering</t>
  </si>
  <si>
    <t>SCADA (Communications)</t>
  </si>
  <si>
    <t>Closing SCADA carrying value</t>
  </si>
  <si>
    <t>Land and easements</t>
  </si>
  <si>
    <t>Closing land and easements carrying value</t>
  </si>
  <si>
    <t>Other depreciable assets</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</si>
  <si>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</si>
  <si>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</si>
  <si>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</si>
  <si>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</si>
  <si>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</si>
  <si>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</si>
  <si>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</si>
  <si>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</si>
  <si>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 xml:space="preserve"> Firm forward haul transportation services</t>
  </si>
  <si>
    <t>Interruptible or as available transportation services</t>
  </si>
  <si>
    <t>Shared costs</t>
  </si>
  <si>
    <t>Reporting template</t>
  </si>
  <si>
    <t>Reporting period start date:</t>
  </si>
  <si>
    <t>Reporting period end date:</t>
  </si>
  <si>
    <t>Construction cost or acqusition cost (where allowed) apportioned</t>
  </si>
  <si>
    <t>Return on capital</t>
  </si>
  <si>
    <t>Total Return of Capital</t>
  </si>
  <si>
    <t>Negative residual value</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</si>
  <si>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</si>
  <si>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</si>
  <si>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</si>
  <si>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</si>
  <si>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</si>
  <si>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</si>
  <si>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</si>
  <si>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</si>
  <si>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</si>
  <si>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</si>
  <si>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</si>
  <si>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</si>
  <si>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</si>
  <si>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</si>
  <si>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</si>
  <si>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</si>
  <si>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</si>
  <si>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</si>
  <si>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</si>
  <si>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</si>
  <si>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</si>
  <si>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</si>
  <si>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</si>
  <si>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</si>
  <si>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</si>
  <si>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</si>
  <si>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</si>
  <si>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</si>
  <si>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</si>
  <si>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</si>
  <si>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</si>
  <si>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</si>
  <si>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</si>
  <si>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</si>
  <si>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</si>
  <si>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</si>
  <si>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</si>
  <si>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</si>
  <si>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</si>
  <si>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</si>
  <si>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Expenditure ($ nominal)</t>
  </si>
  <si>
    <t xml:space="preserve">insert asset description </t>
  </si>
  <si>
    <t>Table 3.1.1: Asset useful life</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</si>
  <si>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</si>
  <si>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</si>
  <si>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</si>
  <si>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</si>
  <si>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</si>
  <si>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</si>
  <si>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</si>
  <si>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</si>
  <si>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</si>
  <si>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</si>
  <si>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</si>
  <si>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</si>
  <si>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</si>
  <si>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</si>
  <si>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</si>
  <si>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</si>
  <si>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</si>
  <si>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</si>
  <si>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</si>
  <si>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</si>
  <si>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</si>
  <si>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</si>
  <si>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</si>
  <si>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</si>
  <si>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</si>
  <si>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</si>
  <si>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</si>
  <si>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Change</t>
  </si>
  <si>
    <t>Reason</t>
  </si>
  <si>
    <t>Cell</t>
  </si>
  <si>
    <t>Recovered capital method</t>
  </si>
  <si>
    <t>Date opening RAB established</t>
  </si>
  <si>
    <t xml:space="preserve">Nominal Opening Regulatory Asset Base </t>
  </si>
  <si>
    <t>Nominal Capex</t>
  </si>
  <si>
    <t xml:space="preserve">Less Nominal Actual Regulatory Depreciation </t>
  </si>
  <si>
    <t xml:space="preserve">Date RAB established </t>
  </si>
  <si>
    <t xml:space="preserve">RAB at date established </t>
  </si>
  <si>
    <t>Return on Capital</t>
  </si>
  <si>
    <t>Operating Expenditure</t>
  </si>
  <si>
    <t>Guideline Reference</t>
  </si>
  <si>
    <t>Capex ($m, Nominal)</t>
  </si>
  <si>
    <t>As above</t>
  </si>
  <si>
    <t>Formula</t>
  </si>
  <si>
    <t>Inputs</t>
  </si>
  <si>
    <t>Net Tax Liabilities</t>
  </si>
  <si>
    <t>Nominal WACC</t>
  </si>
  <si>
    <t>Opex ($m, Nominal)</t>
  </si>
  <si>
    <t>RFM output</t>
  </si>
  <si>
    <t>CPI</t>
  </si>
  <si>
    <t>Government contribution revenue</t>
  </si>
  <si>
    <t>Table 1.1.1 Financial Summary</t>
  </si>
  <si>
    <t>Table 3.2.1: Shared supporting asset allocation</t>
  </si>
  <si>
    <t>Less Asset disposal (at cost)</t>
  </si>
  <si>
    <t>Less Depreciation of compressors</t>
  </si>
  <si>
    <t>Less Disposal (at cost)</t>
  </si>
  <si>
    <t>Less Depreciation of city gates, supply regulators and valve stations</t>
  </si>
  <si>
    <t>Less Depreciation of metering</t>
  </si>
  <si>
    <t>Less Depreciation of odourant plants</t>
  </si>
  <si>
    <t>Less Depreciation of SCADA</t>
  </si>
  <si>
    <t>Less Depreciation of buildings</t>
  </si>
  <si>
    <t>Less Depreciation/amortisation</t>
  </si>
  <si>
    <t>Less Shared property, plant and equipment depreciation</t>
  </si>
  <si>
    <t>Total Contribution ($m, Nominal)</t>
  </si>
  <si>
    <t>Opening other assets</t>
  </si>
  <si>
    <t>Change in other assets</t>
  </si>
  <si>
    <t>Closing other assets</t>
  </si>
  <si>
    <t>Less disposals of shared supporting assets</t>
  </si>
  <si>
    <t>Section 1.5.2</t>
  </si>
  <si>
    <t>Section 4</t>
  </si>
  <si>
    <t>Section 6</t>
  </si>
  <si>
    <t>Section 3</t>
  </si>
  <si>
    <t>Net Tax Liabilities ($m, Nominal)</t>
  </si>
  <si>
    <t>Actual Revenue</t>
  </si>
  <si>
    <t>Opening Asset Base ($m, Nominal) - RAB value</t>
  </si>
  <si>
    <t>Opening Asset Base ($m, Nominal) - RCM value</t>
  </si>
  <si>
    <t>Return of Capital</t>
  </si>
  <si>
    <t>Estimated Revenue (Based on RAB value)</t>
  </si>
  <si>
    <t>Building Block Revenue ($m, Nominal) - RAB value</t>
  </si>
  <si>
    <t>Recovered Capital ($m, Nominal) - if applicable</t>
  </si>
  <si>
    <t>4. Recovered Capital</t>
  </si>
  <si>
    <t>ALL</t>
  </si>
  <si>
    <t>Initial release</t>
  </si>
  <si>
    <t>NA</t>
  </si>
  <si>
    <t>Leased pipeline assets</t>
  </si>
  <si>
    <t>Closing leased pipeline assets carrying value</t>
  </si>
  <si>
    <t>Shared leased assets</t>
  </si>
  <si>
    <t>Closing shared leased assets carrying value</t>
  </si>
  <si>
    <t>3. Statement of pipeline assets</t>
  </si>
  <si>
    <t>3.1: Pipeline assets</t>
  </si>
  <si>
    <t>Rows 57 and 62</t>
  </si>
  <si>
    <t>Row inserted</t>
  </si>
  <si>
    <t>Rows 66 to 71</t>
  </si>
  <si>
    <t>To enable reporting of Leased Pipeline Assets per AASB16</t>
  </si>
  <si>
    <t>Rows 79 to 84</t>
  </si>
  <si>
    <t>To enable reporting of Shared Leased Assets per AASB16</t>
  </si>
  <si>
    <t>D65:H65</t>
  </si>
  <si>
    <t>Originally added rows 61 to 63, changed to 61 to 64</t>
  </si>
  <si>
    <t>D72:H72</t>
  </si>
  <si>
    <t>Updated to include Leased Pipeline Assets in Total Pipeline Assets</t>
  </si>
  <si>
    <t>D78:H78</t>
  </si>
  <si>
    <t>Originally added rows 74 to 76, changed to 74 to 77</t>
  </si>
  <si>
    <t>D88:H88</t>
  </si>
  <si>
    <t>Updated to include Shared Leased Assets in Total shared supporting assets allocated</t>
  </si>
  <si>
    <t>3.1 Pipeline asset useful life</t>
  </si>
  <si>
    <t>3.1.2: Leased asset life</t>
  </si>
  <si>
    <t>B29:F43</t>
  </si>
  <si>
    <t>Table to capture details of lease asset lives (AASB16)</t>
  </si>
  <si>
    <t>B30:G34</t>
  </si>
  <si>
    <t>3.2 Shared supporting assets</t>
  </si>
  <si>
    <t>3.2.1: Shared supporting asset allocation</t>
  </si>
  <si>
    <t>5 rows inserted to allow for additional assets per AASB16</t>
  </si>
  <si>
    <t>4.1 Pipelines capex</t>
  </si>
  <si>
    <t>B37:E43</t>
  </si>
  <si>
    <t>4.1.2: leased asset greater than 5% of construction cost</t>
  </si>
  <si>
    <t>Table to capture lease assets if greater than 5% of construction costs</t>
  </si>
  <si>
    <t>4 Recovered capital</t>
  </si>
  <si>
    <t>4.1: Recovered capital method - pipeline assets</t>
  </si>
  <si>
    <t>B17:B20</t>
  </si>
  <si>
    <t>Insert missing formulae totalling the Shared Supporting Asset items across periods</t>
  </si>
  <si>
    <t>Less Depreciation of land and easement</t>
  </si>
  <si>
    <t>1.1 Financial summary</t>
  </si>
  <si>
    <t>1.1.1 Financial summary</t>
  </si>
  <si>
    <t>D20:H20</t>
  </si>
  <si>
    <t>Format</t>
  </si>
  <si>
    <t>Formula updated</t>
  </si>
  <si>
    <t>New table</t>
  </si>
  <si>
    <t>New formulae</t>
  </si>
  <si>
    <t>Address polarity issue coming from the source data by adding a negative sign to the formula and update to include additional depreciation items from amendment #1 and AASB-16</t>
  </si>
  <si>
    <t>To enable reporting of all aspects of Land and Easements, and Other Depreciable Pipeline Assets.</t>
  </si>
  <si>
    <t>Use of actual year instead of "RAB year 1", "RAB year 2", "RAB year 3", etc.</t>
  </si>
  <si>
    <t>D8:H9</t>
  </si>
  <si>
    <t>D5:H7</t>
  </si>
  <si>
    <t xml:space="preserve">2.2 Revenue contributions </t>
  </si>
  <si>
    <t>2.2.1: Customer contributions received</t>
  </si>
  <si>
    <t>C9:E15 and C21:E27</t>
  </si>
  <si>
    <t>Number format changed to Comma, no decimal places</t>
  </si>
  <si>
    <t>D12:H89</t>
  </si>
  <si>
    <t>D90:H90</t>
  </si>
  <si>
    <t>Number format changed to Percentage, 2 decimal places</t>
  </si>
  <si>
    <t>Leased Assets</t>
  </si>
  <si>
    <t>Leased Asset Interest/Financing Charge</t>
  </si>
  <si>
    <t>Rows 14, 21 and 28</t>
  </si>
  <si>
    <t>Rows inserted to separately capture the impacts of changes to accounting for leases.</t>
  </si>
  <si>
    <t>E14</t>
  </si>
  <si>
    <t>Correct error in formula, as adding incorrect years.  Formula now consistent with columns D, F, G and H</t>
  </si>
  <si>
    <t>Formulae added to columns C and D</t>
  </si>
  <si>
    <t>Formulae added to bring last period closing balance to opening balance</t>
  </si>
  <si>
    <t>E12:H12, E19:H19, E25:H25, E31:H31, E37:H37, E43:H43, E49:H49, E55:H55, E61:H61, E67:H67, E74:H74, E80:H80, E85:H85</t>
  </si>
  <si>
    <t>Actual Pricing per section 7.3 of Guideline</t>
  </si>
  <si>
    <t>5.2 Actual Pricing</t>
  </si>
  <si>
    <t>Worksheet added</t>
  </si>
  <si>
    <t>Inadvertantly excluded from original template, refer Guideline section 7.3</t>
  </si>
  <si>
    <t>Table deleted</t>
  </si>
  <si>
    <t>Leased assets meet definition of capital expenditure and therefore should not have a separate table, rather lease assets are to be included in table 4.1.1</t>
  </si>
  <si>
    <t>Leased assets meet definition of assets and therefore should not have a separate table, rather lease assets are to be included in table 3.1.1</t>
  </si>
  <si>
    <t>3.1.1: Asset useful life</t>
  </si>
  <si>
    <t>B21:F25 and B32:F36</t>
  </si>
  <si>
    <t>Rows inserted to separately capture the impacts of lives of lease assets.</t>
  </si>
  <si>
    <t>E9:E14, E21:E26</t>
  </si>
  <si>
    <t>Australian Gas Networks Limited</t>
  </si>
  <si>
    <t>19 078 551 685</t>
  </si>
  <si>
    <t>Australian Gas Networks Queensland Distribution Network</t>
  </si>
  <si>
    <t>400 King William Street</t>
  </si>
  <si>
    <t>Adelaide</t>
  </si>
  <si>
    <t>SA</t>
  </si>
  <si>
    <t>Peter Bucki</t>
  </si>
  <si>
    <t>0433 008 008</t>
  </si>
  <si>
    <t>peter.bucki@agig.com.au</t>
  </si>
  <si>
    <t>Brisbane North, Ipswich, Rockhampton and Gladstone</t>
  </si>
  <si>
    <t>Distribution</t>
  </si>
  <si>
    <t xml:space="preserve">Distribution service </t>
  </si>
  <si>
    <t>Yes</t>
  </si>
  <si>
    <t>No</t>
  </si>
  <si>
    <t>AGN amendment#</t>
  </si>
  <si>
    <t>Cover</t>
  </si>
  <si>
    <t>Column E</t>
  </si>
  <si>
    <t>Expanded column E.</t>
  </si>
  <si>
    <t>D33 and D34</t>
  </si>
  <si>
    <t>Change colour of font from white to black.</t>
  </si>
  <si>
    <t>1.1.1</t>
  </si>
  <si>
    <t>B13</t>
  </si>
  <si>
    <t>Added ($m. Nominal) to "Disposal (at cost)"</t>
  </si>
  <si>
    <t>To make units consistent with other cells</t>
  </si>
  <si>
    <t>1.1 Financial Summary</t>
  </si>
  <si>
    <t>Column H to N</t>
  </si>
  <si>
    <t xml:space="preserve">Added columns to fit all years and also copied across all formulas </t>
  </si>
  <si>
    <t>Need to disclose all years</t>
  </si>
  <si>
    <t xml:space="preserve">Change to formula to reflect disposals as a positive number. </t>
  </si>
  <si>
    <t>To correctly state the return on capital reported in row 19</t>
  </si>
  <si>
    <t>2. Revenues and expenses</t>
  </si>
  <si>
    <t xml:space="preserve">Cells D29:D37 </t>
  </si>
  <si>
    <t>Original formula had incorrect range.</t>
  </si>
  <si>
    <t>D11:I40</t>
  </si>
  <si>
    <t>Formatting updated</t>
  </si>
  <si>
    <t>Numbers formatted to the nearest dollar, negatives shown in brackets</t>
  </si>
  <si>
    <t>2.2.1</t>
  </si>
  <si>
    <t>C9:E15</t>
  </si>
  <si>
    <t>2.2.2</t>
  </si>
  <si>
    <t>D21:D27</t>
  </si>
  <si>
    <t>2.4 Shared costs</t>
  </si>
  <si>
    <t>2.4.1</t>
  </si>
  <si>
    <t>E9:F36, H9:I36</t>
  </si>
  <si>
    <t>H36</t>
  </si>
  <si>
    <t>Changed formula from =SUM(H9:H35) to =SUM(H9:H17)</t>
  </si>
  <si>
    <t>To avoid doubling up</t>
  </si>
  <si>
    <t>D5</t>
  </si>
  <si>
    <t>Column H to L</t>
  </si>
  <si>
    <t>Added columns to fit all years</t>
  </si>
  <si>
    <t>To fit previous year information</t>
  </si>
  <si>
    <t>3.1.1</t>
  </si>
  <si>
    <t>D7</t>
  </si>
  <si>
    <t>"Acquisition" missed an "i"</t>
  </si>
  <si>
    <t>Incorrect spelling</t>
  </si>
  <si>
    <t>H8</t>
  </si>
  <si>
    <t>Changed formula from ='3. Statement of pipeline assets'!H90 to ='3. Statement of pipeline assets'!H90/2</t>
  </si>
  <si>
    <t>Only 6 months shown in this column as AGN transitioned from Jul - Jun reporting year to Jan - Dec</t>
  </si>
  <si>
    <t>I8:N8</t>
  </si>
  <si>
    <t>Calendar year reporting adopted from 1 Jan 2015 onwards whereas "3. Statement of Pipeline Assets" is still in financial year to align with the tariff schedule and the previous full regulation format.</t>
  </si>
  <si>
    <t>Professional</t>
  </si>
  <si>
    <t>Corporate</t>
  </si>
  <si>
    <t>Marketing</t>
  </si>
  <si>
    <t>Other</t>
  </si>
  <si>
    <t>Changed formula from ='3. Statement of pipeline assets'!(I to N)90 to =AVERAGE('3. Statement of pipeline assets'!(H to M)90:(I to N)90)</t>
  </si>
  <si>
    <t>rows 10, 11 and 20</t>
  </si>
  <si>
    <t>Various</t>
  </si>
  <si>
    <t>Information Technology Assets (June 2011)</t>
  </si>
  <si>
    <t>Information Technology Assets</t>
  </si>
  <si>
    <t>Changed formulae from =SUMIF('2.4 Shared costs'!$D10:$D36,'2. Revenues and expenses'!$C29,'2.4 Shared costs'!H10:H36) etc to =SUMIF('2.4 Shared costs'!$C$9:$C$35,'2. Revenues and expenses'!$C29,'2.4 Shared costs'!$H$9:$H$35)</t>
  </si>
  <si>
    <t>2.1.1.a</t>
  </si>
  <si>
    <t>2.3.1</t>
  </si>
  <si>
    <t>2.4.1.a</t>
  </si>
  <si>
    <t>3.1.a</t>
  </si>
  <si>
    <t>3.1.1.a</t>
  </si>
  <si>
    <t>3.2.1.a</t>
  </si>
  <si>
    <t>4.1.1</t>
  </si>
  <si>
    <t>N14 and N26</t>
  </si>
  <si>
    <t>Added formulae =-('2. Revenues and expenses'!D39-'2. Revenues and expenses'!D21)/1000000 and +'2.1 Revenue by service'!D24/1000000</t>
  </si>
  <si>
    <t>To pick up current year revenue and opex from worksheet 2. Revenues and Expenses</t>
  </si>
  <si>
    <t>Shaded cells in grey to indicate that they are formulae cells</t>
  </si>
  <si>
    <t>To indicate that they are formulae cells as a result of the change above</t>
  </si>
  <si>
    <t>Change in format to align with the other numbers are reported in this table.</t>
  </si>
  <si>
    <t>Cell E13 and right</t>
  </si>
  <si>
    <t>Change to formula to report disposals in $m.</t>
  </si>
  <si>
    <t>Cell H11 and Cell H20</t>
  </si>
  <si>
    <t>Original formula is divided by 2 (as well as being divided by 1m)</t>
  </si>
  <si>
    <t>Original formula referencing Table 3.1 is now based on the average of 2 financial years</t>
  </si>
  <si>
    <t>As described in the Basis of Preparation AGN charged from Jul - Jun financial year reporting to Jan - Dec. Jul - Dec 2014 is the transition period. From 2015 onwards this table shows calendar to align with AGN reporting so the average of two financial years are used from Table 3.1 i.e. 2016 = average of 2015/16 and 2016/17.</t>
  </si>
  <si>
    <t>Cell I11 and Cell I20 and right</t>
  </si>
  <si>
    <t>Cell H10 and right</t>
  </si>
  <si>
    <t>Formula changed from ('3. Statement of pipeline assets'!H12+'3. Statement of pipeline assets'!H19+'3. Statement of pipeline assets'!H25+'3. Statement of pipeline assets'!H31+'3. Statement of pipeline assets'!H37+'3. Statement of pipeline assets'!H43+'3. Statement of pipeline assets'!H49+'3. Statement of pipeline assets'!H55+'3. Statement of pipeline assets'!H61+'3. Statement of pipeline assets'!H74+'3. Statement of pipeline assets'!H85)/1000000 to =G10+G11-G12-G13-G20</t>
  </si>
  <si>
    <t>From 2015 RAB based on calendar year not financial year used in Table 3.1</t>
  </si>
  <si>
    <t>Units need to be in millions according to the description in column B</t>
  </si>
  <si>
    <t>See 3.1.1.a of Basis of Preparation for full explanation</t>
  </si>
  <si>
    <t>Cell H19</t>
  </si>
  <si>
    <t>Changed formula from =(H10-H12-H13)*H9 to =(H10-H12-H13)*H9/2</t>
  </si>
  <si>
    <t>As described in the Basis of Preparation AGN charged from Jul - Jun financial year reporting to Jan - Dec. Jul - Dec 2014 is the transition period so only 1/2 a year of return on capital is shown.</t>
  </si>
  <si>
    <t>N11</t>
  </si>
  <si>
    <t>N20</t>
  </si>
  <si>
    <t>Formula changed to pick up 100% of 2020 and 50% of FY2020 depreciation from table 3.1 because 2020 is only 6 months in that table. FY20 is a full year so 2 half years = full year 2020.</t>
  </si>
  <si>
    <t>2019/20 is a full year therefore 2 half years = full year 2020.</t>
  </si>
  <si>
    <t>To make full name of pipelines visible</t>
  </si>
  <si>
    <t>To make postal address visible</t>
  </si>
  <si>
    <t>Formula changed to pick up 100% of 2020 and 50% of 2021 Capex from table 3.1 because 2020 is only 6 months in that table. FY20 is a full year so 2 half years = full year 2020.</t>
  </si>
  <si>
    <t xml:space="preserve">Per the last AER approved Access Arrangement </t>
  </si>
  <si>
    <t>As described in the Basis of Preparation AGN changed from Jul - Jun financial year reporting to Jan - Dec. Jul - Dec 2014 is the transition period so only 1/2 a year of capex is shown.</t>
  </si>
  <si>
    <t>Divided referencing RAB, Depreciation and Capex from 3. Statement of pipeline assets by 1 million. For example '3.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assets'!E75+'3. Statement of pipeline assets'!E86 changed to =('3.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assets'!E75+'3. Statement of pipeline assets'!E86)/1000000</t>
  </si>
  <si>
    <t>I13</t>
  </si>
  <si>
    <t>Changed formula to =SUM(I11:I12) to pick up actual total</t>
  </si>
  <si>
    <t>2010-11</t>
  </si>
  <si>
    <t>2011-12</t>
  </si>
  <si>
    <t>2012-13</t>
  </si>
  <si>
    <t>2013-14</t>
  </si>
  <si>
    <t>2014-15</t>
  </si>
  <si>
    <t>2015-16</t>
  </si>
  <si>
    <t>2016-17</t>
  </si>
  <si>
    <t>2017-18</t>
  </si>
  <si>
    <t>2018-19</t>
  </si>
  <si>
    <t>2019-20</t>
  </si>
  <si>
    <t>2020-21</t>
  </si>
  <si>
    <t>2021-22</t>
  </si>
  <si>
    <t>N/A</t>
  </si>
  <si>
    <t>Customer Contributions</t>
  </si>
  <si>
    <t>2022-23</t>
  </si>
  <si>
    <t>P20</t>
  </si>
  <si>
    <t>Reformatted cell</t>
  </si>
  <si>
    <t>Reformatted cell to show negatives in brackets</t>
  </si>
  <si>
    <t>N14 - P14</t>
  </si>
  <si>
    <t xml:space="preserve">Added formulae =-('2. Revenues and expenses'!D39-'2. Revenues and expenses'!D21-'2. Revenues and expenses'!D32)/1000000 </t>
  </si>
  <si>
    <t>To pick up current year and opex (excluding all depreciation) from worksheet 2. Revenues and Expenses</t>
  </si>
  <si>
    <t>2.1a</t>
  </si>
  <si>
    <t>2.1b</t>
  </si>
  <si>
    <t>2.1c</t>
  </si>
  <si>
    <t>2.1d</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</si>
</sst>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_-;\-* #,##0_-;_-* &quot;-&quot;??_-;_-@_-"/>
    <numFmt numFmtId="183" formatCode="_-* #,##0.000_-;\-* #,##0.000_-;_-* &quot;-&quot;??_-;_-@_-"/>
    <numFmt numFmtId="184" formatCode="_-* #,##0.0_-;\-* #,##0.0_-;_-* &quot;-&quot;??_-;_-@_-"/>
    <numFmt numFmtId="185" formatCode="_-* #,##0.0_-;\-* #,##0.0_-;_-* &quot;-&quot;?_-;_-@_-"/>
    <numFmt numFmtId="186" formatCode="0.0%"/>
    <numFmt numFmtId="187" formatCode="d/mm/yy;@"/>
    <numFmt numFmtId="188" formatCode="_(* #,##0.00_);_(* \(#,##0.00\);_(* &quot;-&quot;??_);_(@_)"/>
    <numFmt numFmtId="189" formatCode="_(* #,##0.000_);_(* \(#,##0.000\);_(* &quot;-&quot;??_);_(@_)"/>
    <numFmt numFmtId="190" formatCode="_-* #,##0.0000_-;\-* #,##0.0000_-;_-* &quot;-&quot;??_-;_-@_-"/>
    <numFmt numFmtId="191" formatCode="_-* #,##0.00000_-;\-* #,##0.00000_-;_-* &quot;-&quot;??_-;_-@_-"/>
    <numFmt numFmtId="192" formatCode="0.000%"/>
    <numFmt numFmtId="193" formatCode="0.0000%"/>
    <numFmt numFmtId="194" formatCode="0.00000%"/>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9"/>
      <name val="Arial"/>
      <family val="2"/>
    </font>
    <font>
      <b/>
      <sz val="9"/>
      <name val="Tahoma"/>
      <family val="2"/>
    </font>
    <font>
      <sz val="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22"/>
      <color indexed="10"/>
      <name val="Arial"/>
      <family val="2"/>
    </font>
    <font>
      <b/>
      <sz val="10"/>
      <color indexed="56"/>
      <name val="Arial"/>
      <family val="2"/>
    </font>
    <font>
      <sz val="10"/>
      <color indexed="56"/>
      <name val="Arial"/>
      <family val="2"/>
    </font>
    <font>
      <sz val="12"/>
      <color indexed="10"/>
      <name val="Arial"/>
      <family val="2"/>
    </font>
    <font>
      <sz val="10"/>
      <color indexed="10"/>
      <name val="Arial"/>
      <family val="2"/>
    </font>
    <font>
      <b/>
      <sz val="9"/>
      <color indexed="9"/>
      <name val="Malgun Gothic"/>
      <family val="2"/>
    </font>
    <font>
      <b/>
      <sz val="7"/>
      <color indexed="18"/>
      <name val="Arial"/>
      <family val="0"/>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b/>
      <sz val="22"/>
      <color rgb="FFFF0000"/>
      <name val="Arial"/>
      <family val="2"/>
    </font>
    <font>
      <b/>
      <sz val="10"/>
      <color rgb="FF002060"/>
      <name val="Arial"/>
      <family val="2"/>
    </font>
    <font>
      <sz val="10"/>
      <color rgb="FF002060"/>
      <name val="Arial"/>
      <family val="2"/>
    </font>
    <font>
      <sz val="12"/>
      <color rgb="FFFF0000"/>
      <name val="Arial"/>
      <family val="2"/>
    </font>
    <font>
      <sz val="10"/>
      <color rgb="FFFF0000"/>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1"/>
        <bgColor indexed="64"/>
      </patternFill>
    </fill>
    <fill>
      <patternFill patternType="solid">
        <fgColor rgb="FF333399"/>
        <bgColor indexed="64"/>
      </patternFill>
    </fill>
    <fill>
      <patternFill patternType="solid">
        <fgColor rgb="FFFFFFCC"/>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28">
    <xf numFmtId="0" fontId="0" fillId="0" borderId="0" xfId="0" applyAlignment="1">
      <alignment/>
    </xf>
    <xf numFmtId="0" fontId="1" fillId="5" borderId="0" xfId="111" applyFont="1">
      <alignment/>
      <protection/>
    </xf>
    <xf numFmtId="0" fontId="0" fillId="5" borderId="0" xfId="111">
      <alignment/>
      <protection/>
    </xf>
    <xf numFmtId="0" fontId="2" fillId="5" borderId="0" xfId="111" applyFont="1">
      <alignment/>
      <protection/>
    </xf>
    <xf numFmtId="0" fontId="4" fillId="17" borderId="10" xfId="111" applyFont="1" applyFill="1" applyBorder="1" applyAlignment="1" applyProtection="1">
      <alignment/>
      <protection locked="0"/>
    </xf>
    <xf numFmtId="0" fontId="5" fillId="17" borderId="0" xfId="111" applyFont="1" applyFill="1" applyBorder="1" applyAlignment="1">
      <alignment/>
      <protection/>
    </xf>
    <xf numFmtId="0" fontId="5" fillId="17" borderId="11" xfId="111" applyFont="1" applyFill="1" applyBorder="1" applyAlignment="1">
      <alignment/>
      <protection/>
    </xf>
    <xf numFmtId="2" fontId="6" fillId="5" borderId="0" xfId="111" applyNumberFormat="1" applyFont="1" applyBorder="1" applyAlignment="1" applyProtection="1">
      <alignment horizontal="left"/>
      <protection/>
    </xf>
    <xf numFmtId="0" fontId="7" fillId="5" borderId="0" xfId="111" applyFont="1" applyAlignment="1" applyProtection="1">
      <alignment/>
      <protection locked="0"/>
    </xf>
    <xf numFmtId="0" fontId="7" fillId="5" borderId="0" xfId="111" applyFont="1" applyProtection="1">
      <alignment/>
      <protection locked="0"/>
    </xf>
    <xf numFmtId="0" fontId="6" fillId="5" borderId="0" xfId="111" applyFont="1">
      <alignment/>
      <protection/>
    </xf>
    <xf numFmtId="0" fontId="0" fillId="5" borderId="0" xfId="111" applyAlignment="1">
      <alignment/>
      <protection/>
    </xf>
    <xf numFmtId="0" fontId="8" fillId="17" borderId="12" xfId="111" applyFont="1" applyFill="1" applyBorder="1">
      <alignment/>
      <protection/>
    </xf>
    <xf numFmtId="0" fontId="9" fillId="17" borderId="12" xfId="111" applyFont="1" applyFill="1" applyBorder="1">
      <alignment/>
      <protection/>
    </xf>
    <xf numFmtId="0" fontId="9" fillId="5" borderId="0" xfId="111" applyFont="1">
      <alignment/>
      <protection/>
    </xf>
    <xf numFmtId="0" fontId="8" fillId="17" borderId="13" xfId="111" applyFont="1" applyFill="1" applyBorder="1">
      <alignment/>
      <protection/>
    </xf>
    <xf numFmtId="0" fontId="9" fillId="17" borderId="14" xfId="111" applyFont="1" applyFill="1" applyBorder="1">
      <alignment/>
      <protection/>
    </xf>
    <xf numFmtId="0" fontId="11" fillId="5" borderId="0" xfId="109" applyFont="1">
      <alignment/>
      <protection/>
    </xf>
    <xf numFmtId="0" fontId="11" fillId="5" borderId="0" xfId="109" applyFont="1" applyFill="1" applyBorder="1">
      <alignment/>
      <protection/>
    </xf>
    <xf numFmtId="0" fontId="11" fillId="5" borderId="0" xfId="109" applyFont="1" applyFill="1">
      <alignment/>
      <protection/>
    </xf>
    <xf numFmtId="0" fontId="12" fillId="5" borderId="0" xfId="109" applyFont="1" applyFill="1" applyBorder="1" applyAlignment="1">
      <alignment vertical="center"/>
      <protection/>
    </xf>
    <xf numFmtId="0" fontId="12" fillId="5" borderId="0" xfId="109" applyFont="1" applyFill="1" applyBorder="1" applyAlignment="1">
      <alignment/>
      <protection/>
    </xf>
    <xf numFmtId="0" fontId="11" fillId="5" borderId="0" xfId="109" applyFont="1" applyFill="1" applyBorder="1" applyAlignment="1">
      <alignment vertical="center"/>
      <protection/>
    </xf>
    <xf numFmtId="0" fontId="11" fillId="5" borderId="0" xfId="109" applyFont="1" applyAlignment="1">
      <alignment vertical="center"/>
      <protection/>
    </xf>
    <xf numFmtId="0" fontId="14" fillId="18" borderId="15" xfId="109" applyFont="1" applyFill="1" applyBorder="1" applyAlignment="1">
      <alignment vertical="center"/>
      <protection/>
    </xf>
    <xf numFmtId="0" fontId="2" fillId="18" borderId="16" xfId="109" applyFont="1" applyFill="1" applyBorder="1" applyAlignment="1">
      <alignment vertical="center"/>
      <protection/>
    </xf>
    <xf numFmtId="0" fontId="2" fillId="18" borderId="17" xfId="109" applyFont="1" applyFill="1" applyBorder="1" applyAlignment="1">
      <alignment vertical="center"/>
      <protection/>
    </xf>
    <xf numFmtId="0" fontId="3" fillId="5" borderId="0" xfId="109" applyFont="1" applyFill="1" applyBorder="1" applyAlignment="1">
      <alignment vertical="center"/>
      <protection/>
    </xf>
    <xf numFmtId="0" fontId="11" fillId="5" borderId="0" xfId="109" applyFont="1" applyFill="1" applyAlignment="1">
      <alignment vertical="center"/>
      <protection/>
    </xf>
    <xf numFmtId="0" fontId="2" fillId="18" borderId="0" xfId="109" applyFont="1" applyFill="1" applyBorder="1" applyAlignment="1">
      <alignment vertical="center"/>
      <protection/>
    </xf>
    <xf numFmtId="0" fontId="11" fillId="18" borderId="0" xfId="109" applyFont="1" applyFill="1" applyBorder="1" applyAlignment="1">
      <alignment vertical="center"/>
      <protection/>
    </xf>
    <xf numFmtId="0" fontId="15" fillId="18" borderId="0" xfId="109" applyFont="1" applyFill="1" applyBorder="1" applyAlignment="1">
      <alignment horizontal="left" vertical="center"/>
      <protection/>
    </xf>
    <xf numFmtId="0" fontId="14" fillId="18" borderId="0" xfId="109" applyFont="1" applyFill="1" applyBorder="1" applyAlignment="1">
      <alignment vertical="center"/>
      <protection/>
    </xf>
    <xf numFmtId="0" fontId="16" fillId="5" borderId="0" xfId="109" applyFont="1" applyFill="1" applyBorder="1" applyAlignment="1">
      <alignment vertical="center"/>
      <protection/>
    </xf>
    <xf numFmtId="0" fontId="14" fillId="18" borderId="10" xfId="109" applyFont="1" applyFill="1" applyBorder="1" applyAlignment="1">
      <alignment vertical="center"/>
      <protection/>
    </xf>
    <xf numFmtId="0" fontId="14" fillId="18" borderId="11" xfId="109" applyFont="1" applyFill="1" applyBorder="1" applyAlignment="1">
      <alignment vertical="center"/>
      <protection/>
    </xf>
    <xf numFmtId="0" fontId="11" fillId="18" borderId="18" xfId="109" applyFont="1" applyFill="1" applyBorder="1">
      <alignment/>
      <protection/>
    </xf>
    <xf numFmtId="0" fontId="2" fillId="18" borderId="19" xfId="109" applyFont="1" applyFill="1" applyBorder="1" applyAlignment="1">
      <alignment vertical="center"/>
      <protection/>
    </xf>
    <xf numFmtId="0" fontId="11" fillId="18" borderId="19" xfId="109" applyFont="1" applyFill="1" applyBorder="1">
      <alignment/>
      <protection/>
    </xf>
    <xf numFmtId="0" fontId="11" fillId="18" borderId="20" xfId="109" applyFont="1" applyFill="1" applyBorder="1">
      <alignment/>
      <protection/>
    </xf>
    <xf numFmtId="0" fontId="11" fillId="0" borderId="0" xfId="109" applyFont="1" applyFill="1" applyBorder="1">
      <alignment/>
      <protection/>
    </xf>
    <xf numFmtId="0" fontId="1" fillId="5" borderId="0" xfId="115" applyFont="1">
      <alignment/>
      <protection/>
    </xf>
    <xf numFmtId="0" fontId="35" fillId="5" borderId="0" xfId="113" applyFont="1" applyFill="1" applyBorder="1" applyAlignment="1">
      <alignment/>
      <protection/>
    </xf>
    <xf numFmtId="0" fontId="0" fillId="5" borderId="0" xfId="115">
      <alignment/>
      <protection/>
    </xf>
    <xf numFmtId="0" fontId="1" fillId="0" borderId="0" xfId="115" applyFont="1" applyFill="1" applyAlignment="1">
      <alignment/>
      <protection/>
    </xf>
    <xf numFmtId="167" fontId="2" fillId="5" borderId="0" xfId="115" applyNumberFormat="1" applyFont="1" applyBorder="1" applyAlignment="1">
      <alignment horizontal="left"/>
      <protection/>
    </xf>
    <xf numFmtId="49" fontId="0" fillId="5" borderId="0" xfId="115" applyNumberFormat="1" applyFont="1">
      <alignment/>
      <protection/>
    </xf>
    <xf numFmtId="2" fontId="0" fillId="5" borderId="0" xfId="115" applyNumberFormat="1" applyFont="1" applyBorder="1">
      <alignment/>
      <protection/>
    </xf>
    <xf numFmtId="164" fontId="0" fillId="5" borderId="0" xfId="115" applyNumberFormat="1" applyFont="1" applyBorder="1" applyAlignment="1">
      <alignment horizontal="center"/>
      <protection/>
    </xf>
    <xf numFmtId="164" fontId="0" fillId="5" borderId="0" xfId="115" applyNumberFormat="1" applyFont="1" applyBorder="1">
      <alignment/>
      <protection/>
    </xf>
    <xf numFmtId="0" fontId="0" fillId="5" borderId="0" xfId="115" applyFont="1">
      <alignment/>
      <protection/>
    </xf>
    <xf numFmtId="168" fontId="36" fillId="17" borderId="12" xfId="115" applyNumberFormat="1" applyFont="1" applyFill="1" applyBorder="1" applyAlignment="1" quotePrefix="1">
      <alignment horizontal="center" vertical="center" wrapText="1"/>
      <protection/>
    </xf>
    <xf numFmtId="49" fontId="36" fillId="17" borderId="12" xfId="115" applyNumberFormat="1" applyFont="1" applyFill="1" applyBorder="1" applyAlignment="1">
      <alignment horizontal="center" vertical="center" wrapText="1"/>
      <protection/>
    </xf>
    <xf numFmtId="2" fontId="36" fillId="17" borderId="12" xfId="115" applyNumberFormat="1" applyFont="1" applyFill="1" applyBorder="1" applyAlignment="1">
      <alignment horizontal="center" vertical="center" wrapText="1"/>
      <protection/>
    </xf>
    <xf numFmtId="167" fontId="10" fillId="17" borderId="12" xfId="115" applyNumberFormat="1" applyFont="1" applyFill="1" applyBorder="1" applyAlignment="1">
      <alignment horizontal="left"/>
      <protection/>
    </xf>
    <xf numFmtId="2" fontId="10" fillId="17" borderId="12" xfId="73" applyNumberFormat="1" applyFont="1" applyFill="1" applyBorder="1" applyAlignment="1">
      <alignment horizontal="center"/>
    </xf>
    <xf numFmtId="49" fontId="10" fillId="17" borderId="12" xfId="115" applyNumberFormat="1" applyFont="1" applyFill="1" applyBorder="1">
      <alignment/>
      <protection/>
    </xf>
    <xf numFmtId="49" fontId="10" fillId="17" borderId="12" xfId="115" applyNumberFormat="1" applyFont="1" applyFill="1" applyBorder="1" applyAlignment="1">
      <alignment horizontal="left"/>
      <protection/>
    </xf>
    <xf numFmtId="49" fontId="10" fillId="19" borderId="12" xfId="115" applyNumberFormat="1" applyFont="1" applyFill="1" applyBorder="1">
      <alignment/>
      <protection/>
    </xf>
    <xf numFmtId="49" fontId="10" fillId="17" borderId="12" xfId="115" applyNumberFormat="1" applyFont="1" applyFill="1" applyBorder="1" applyAlignment="1">
      <alignment horizontal="left" wrapText="1"/>
      <protection/>
    </xf>
    <xf numFmtId="167" fontId="0" fillId="17" borderId="12" xfId="115" applyNumberFormat="1" applyFont="1" applyFill="1" applyBorder="1" applyAlignment="1">
      <alignment horizontal="left"/>
      <protection/>
    </xf>
    <xf numFmtId="0" fontId="2" fillId="5" borderId="0" xfId="115" applyFont="1">
      <alignment/>
      <protection/>
    </xf>
    <xf numFmtId="0" fontId="39" fillId="5" borderId="0" xfId="115" applyFont="1">
      <alignment/>
      <protection/>
    </xf>
    <xf numFmtId="167" fontId="10" fillId="17" borderId="21" xfId="73" applyNumberFormat="1" applyFont="1" applyFill="1" applyBorder="1" applyAlignment="1">
      <alignment horizontal="center" vertical="center"/>
    </xf>
    <xf numFmtId="0" fontId="3" fillId="5" borderId="0" xfId="115" applyFont="1">
      <alignment/>
      <protection/>
    </xf>
    <xf numFmtId="39" fontId="0" fillId="5" borderId="0" xfId="115" applyNumberFormat="1" applyFont="1">
      <alignment/>
      <protection/>
    </xf>
    <xf numFmtId="0" fontId="5" fillId="17" borderId="22" xfId="115" applyFont="1" applyFill="1" applyBorder="1" applyAlignment="1">
      <alignment horizontal="left" indent="1"/>
      <protection/>
    </xf>
    <xf numFmtId="0" fontId="0" fillId="17" borderId="23" xfId="115" applyFont="1" applyFill="1" applyBorder="1" applyAlignment="1">
      <alignment/>
      <protection/>
    </xf>
    <xf numFmtId="0" fontId="0" fillId="17" borderId="23" xfId="115" applyFont="1" applyFill="1" applyBorder="1">
      <alignment/>
      <protection/>
    </xf>
    <xf numFmtId="0" fontId="0" fillId="17" borderId="24" xfId="115" applyFont="1" applyFill="1" applyBorder="1">
      <alignment/>
      <protection/>
    </xf>
    <xf numFmtId="0" fontId="4" fillId="17" borderId="10" xfId="115" applyFont="1" applyFill="1" applyBorder="1" applyAlignment="1">
      <alignment horizontal="left" indent="1"/>
      <protection/>
    </xf>
    <xf numFmtId="0" fontId="10" fillId="17" borderId="0" xfId="115" applyFont="1" applyFill="1" applyBorder="1" applyAlignment="1">
      <alignment horizontal="right" indent="1"/>
      <protection/>
    </xf>
    <xf numFmtId="0" fontId="10" fillId="17" borderId="11" xfId="115" applyFont="1" applyFill="1" applyBorder="1" applyAlignment="1" applyProtection="1">
      <alignment/>
      <protection locked="0"/>
    </xf>
    <xf numFmtId="0" fontId="10" fillId="17" borderId="0" xfId="115" applyFont="1" applyFill="1" applyBorder="1">
      <alignment/>
      <protection/>
    </xf>
    <xf numFmtId="0" fontId="0" fillId="4" borderId="25" xfId="115" applyFont="1" applyFill="1" applyBorder="1" applyAlignment="1" applyProtection="1">
      <alignment horizontal="left"/>
      <protection locked="0"/>
    </xf>
    <xf numFmtId="0" fontId="0" fillId="17" borderId="0" xfId="115" applyFont="1" applyFill="1" applyBorder="1">
      <alignment/>
      <protection/>
    </xf>
    <xf numFmtId="0" fontId="0" fillId="17" borderId="11" xfId="115" applyFont="1" applyFill="1" applyBorder="1" applyProtection="1">
      <alignment/>
      <protection locked="0"/>
    </xf>
    <xf numFmtId="0" fontId="0" fillId="17" borderId="11" xfId="115" applyFont="1" applyFill="1" applyBorder="1">
      <alignment/>
      <protection/>
    </xf>
    <xf numFmtId="0" fontId="0" fillId="17" borderId="11" xfId="115" applyFont="1" applyFill="1" applyBorder="1" applyAlignment="1" applyProtection="1">
      <alignment/>
      <protection locked="0"/>
    </xf>
    <xf numFmtId="0" fontId="5" fillId="17" borderId="10" xfId="115" applyFont="1" applyFill="1" applyBorder="1" applyAlignment="1">
      <alignment horizontal="left" indent="1"/>
      <protection/>
    </xf>
    <xf numFmtId="0" fontId="5" fillId="17" borderId="18" xfId="115" applyFont="1" applyFill="1" applyBorder="1" applyAlignment="1">
      <alignment horizontal="left" indent="1"/>
      <protection/>
    </xf>
    <xf numFmtId="0" fontId="0" fillId="17" borderId="19" xfId="115" applyFont="1" applyFill="1" applyBorder="1" applyAlignment="1">
      <alignment/>
      <protection/>
    </xf>
    <xf numFmtId="0" fontId="0" fillId="17" borderId="19" xfId="115" applyFont="1" applyFill="1" applyBorder="1">
      <alignment/>
      <protection/>
    </xf>
    <xf numFmtId="0" fontId="0" fillId="17" borderId="20" xfId="115" applyFont="1" applyFill="1" applyBorder="1">
      <alignment/>
      <protection/>
    </xf>
    <xf numFmtId="0" fontId="0" fillId="5" borderId="0" xfId="120">
      <alignment/>
      <protection/>
    </xf>
    <xf numFmtId="0" fontId="1" fillId="5" borderId="0" xfId="120" applyFont="1" applyAlignment="1">
      <alignment/>
      <protection/>
    </xf>
    <xf numFmtId="49" fontId="0" fillId="5" borderId="0" xfId="120" applyNumberFormat="1" applyFont="1">
      <alignment/>
      <protection/>
    </xf>
    <xf numFmtId="164" fontId="0" fillId="5" borderId="0" xfId="120" applyNumberFormat="1" applyFont="1" applyBorder="1">
      <alignment/>
      <protection/>
    </xf>
    <xf numFmtId="167" fontId="3" fillId="5" borderId="0" xfId="120" applyNumberFormat="1" applyFont="1" applyBorder="1" applyAlignment="1">
      <alignment horizontal="left"/>
      <protection/>
    </xf>
    <xf numFmtId="49" fontId="36" fillId="17" borderId="12" xfId="120" applyNumberFormat="1" applyFont="1" applyFill="1" applyBorder="1" applyAlignment="1">
      <alignment horizontal="center" vertical="center" wrapText="1"/>
      <protection/>
    </xf>
    <xf numFmtId="164" fontId="36" fillId="17" borderId="12" xfId="120" applyNumberFormat="1" applyFont="1" applyFill="1" applyBorder="1" applyAlignment="1">
      <alignment horizontal="center" vertical="center" wrapText="1"/>
      <protection/>
    </xf>
    <xf numFmtId="49" fontId="36" fillId="17" borderId="12" xfId="120"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20" applyNumberFormat="1" applyFont="1" applyFill="1" applyBorder="1">
      <alignment/>
      <protection/>
    </xf>
    <xf numFmtId="171" fontId="0" fillId="4" borderId="12" xfId="120" applyNumberFormat="1" applyFont="1" applyFill="1" applyBorder="1" applyAlignment="1">
      <alignment horizontal="right"/>
      <protection/>
    </xf>
    <xf numFmtId="171" fontId="0" fillId="4" borderId="12" xfId="120" applyNumberFormat="1" applyFont="1" applyFill="1" applyBorder="1" applyAlignment="1">
      <alignment horizontal="right" wrapText="1"/>
      <protection/>
    </xf>
    <xf numFmtId="0" fontId="1" fillId="0" borderId="0" xfId="0" applyFont="1" applyAlignment="1">
      <alignment/>
    </xf>
    <xf numFmtId="0" fontId="3" fillId="0" borderId="0" xfId="0" applyFont="1" applyAlignment="1">
      <alignment/>
    </xf>
    <xf numFmtId="168" fontId="36" fillId="17" borderId="12" xfId="122" applyNumberFormat="1" applyFont="1" applyFill="1" applyBorder="1" applyAlignment="1">
      <alignment horizontal="center" vertical="center" wrapText="1"/>
      <protection/>
    </xf>
    <xf numFmtId="49" fontId="36" fillId="17" borderId="12" xfId="122"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168" fontId="10" fillId="19" borderId="0" xfId="0" applyNumberFormat="1" applyFont="1" applyFill="1" applyBorder="1" applyAlignment="1">
      <alignment horizontal="left" vertical="center" wrapText="1"/>
    </xf>
    <xf numFmtId="167" fontId="0" fillId="7" borderId="12" xfId="122" applyNumberFormat="1" applyFont="1" applyFill="1" applyBorder="1" applyAlignment="1">
      <alignment horizontal="right"/>
      <protection/>
    </xf>
    <xf numFmtId="0" fontId="36" fillId="7" borderId="13" xfId="120" applyFont="1" applyFill="1" applyBorder="1" applyAlignment="1">
      <alignment horizontal="right"/>
      <protection/>
    </xf>
    <xf numFmtId="167" fontId="0" fillId="4" borderId="26" xfId="115" applyNumberFormat="1" applyFont="1" applyFill="1" applyBorder="1" applyAlignment="1">
      <alignment horizontal="center"/>
      <protection/>
    </xf>
    <xf numFmtId="49" fontId="36" fillId="17" borderId="27" xfId="115" applyNumberFormat="1" applyFont="1" applyFill="1" applyBorder="1" applyAlignment="1">
      <alignment horizontal="center" vertical="center" wrapText="1"/>
      <protection/>
    </xf>
    <xf numFmtId="168" fontId="10" fillId="17" borderId="12" xfId="115" applyNumberFormat="1" applyFont="1" applyFill="1" applyBorder="1" applyAlignment="1" quotePrefix="1">
      <alignment vertical="center" wrapText="1"/>
      <protection/>
    </xf>
    <xf numFmtId="168" fontId="10" fillId="17" borderId="12" xfId="115" applyNumberFormat="1" applyFont="1" applyFill="1" applyBorder="1" applyAlignment="1" quotePrefix="1">
      <alignment horizontal="left" vertical="center" wrapText="1"/>
      <protection/>
    </xf>
    <xf numFmtId="0" fontId="36" fillId="17" borderId="12" xfId="115" applyFont="1" applyFill="1" applyBorder="1">
      <alignment/>
      <protection/>
    </xf>
    <xf numFmtId="49" fontId="36" fillId="17" borderId="21" xfId="120" applyNumberFormat="1" applyFont="1" applyFill="1" applyBorder="1" applyAlignment="1">
      <alignment horizontal="center"/>
      <protection/>
    </xf>
    <xf numFmtId="0" fontId="0" fillId="20" borderId="0" xfId="115" applyFont="1" applyFill="1">
      <alignment/>
      <protection/>
    </xf>
    <xf numFmtId="49" fontId="36" fillId="17" borderId="12" xfId="122"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22"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5" applyNumberFormat="1" applyFont="1" applyFill="1" applyBorder="1" applyAlignment="1">
      <alignment horizontal="right"/>
      <protection/>
    </xf>
    <xf numFmtId="0" fontId="63" fillId="5" borderId="0" xfId="111"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20" applyNumberFormat="1" applyFont="1" applyFill="1" applyBorder="1" applyAlignment="1">
      <alignment horizontal="left" vertical="center" wrapText="1"/>
      <protection/>
    </xf>
    <xf numFmtId="49" fontId="10" fillId="17" borderId="12" xfId="120" applyNumberFormat="1" applyFont="1" applyFill="1" applyBorder="1" applyAlignment="1">
      <alignment horizontal="left" vertical="center" wrapText="1"/>
      <protection/>
    </xf>
    <xf numFmtId="49" fontId="10" fillId="17" borderId="12" xfId="122" applyNumberFormat="1" applyFont="1" applyFill="1" applyBorder="1" applyAlignment="1">
      <alignment horizontal="left" vertical="center" wrapText="1"/>
      <protection/>
    </xf>
    <xf numFmtId="49" fontId="10" fillId="17" borderId="21" xfId="120" applyNumberFormat="1" applyFont="1" applyFill="1" applyBorder="1" applyAlignment="1">
      <alignment horizontal="center"/>
      <protection/>
    </xf>
    <xf numFmtId="168" fontId="36" fillId="17" borderId="12" xfId="116" applyNumberFormat="1" applyFont="1" applyFill="1" applyBorder="1" applyAlignment="1" quotePrefix="1">
      <alignment horizontal="center" vertical="center" wrapText="1"/>
      <protection/>
    </xf>
    <xf numFmtId="167" fontId="5" fillId="17" borderId="12" xfId="116" applyNumberFormat="1" applyFont="1" applyFill="1" applyBorder="1" applyAlignment="1">
      <alignment horizontal="left"/>
      <protection/>
    </xf>
    <xf numFmtId="2" fontId="36" fillId="17" borderId="29" xfId="116" applyNumberFormat="1" applyFont="1" applyFill="1" applyBorder="1" applyAlignment="1">
      <alignment horizontal="center" vertical="center" wrapText="1"/>
      <protection/>
    </xf>
    <xf numFmtId="41" fontId="4" fillId="17" borderId="12" xfId="116" applyNumberFormat="1" applyFont="1" applyFill="1" applyBorder="1">
      <alignment/>
      <protection/>
    </xf>
    <xf numFmtId="41" fontId="10" fillId="17" borderId="13" xfId="116" applyNumberFormat="1" applyFont="1" applyFill="1" applyBorder="1">
      <alignment/>
      <protection/>
    </xf>
    <xf numFmtId="41" fontId="10" fillId="19" borderId="12" xfId="116" applyNumberFormat="1" applyFont="1" applyFill="1" applyBorder="1">
      <alignment/>
      <protection/>
    </xf>
    <xf numFmtId="41" fontId="4" fillId="17" borderId="13" xfId="116"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64" fillId="23" borderId="0" xfId="0" applyNumberFormat="1" applyFont="1" applyFill="1" applyAlignment="1">
      <alignment/>
    </xf>
    <xf numFmtId="167" fontId="0" fillId="4" borderId="28" xfId="122" applyNumberFormat="1" applyFont="1" applyFill="1" applyBorder="1" applyAlignment="1">
      <alignment vertical="top"/>
      <protection/>
    </xf>
    <xf numFmtId="43" fontId="38" fillId="7" borderId="12" xfId="73" applyFont="1" applyFill="1" applyBorder="1" applyAlignment="1">
      <alignment/>
    </xf>
    <xf numFmtId="49" fontId="10" fillId="17" borderId="12" xfId="121"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9" fontId="36" fillId="17" borderId="0" xfId="122" applyNumberFormat="1" applyFont="1" applyFill="1" applyBorder="1" applyAlignment="1">
      <alignment horizontal="center" vertical="center" wrapText="1"/>
      <protection/>
    </xf>
    <xf numFmtId="0" fontId="65" fillId="24" borderId="15" xfId="109" applyFont="1" applyFill="1" applyBorder="1">
      <alignment/>
      <protection/>
    </xf>
    <xf numFmtId="0" fontId="65" fillId="24" borderId="16" xfId="109" applyFont="1" applyFill="1" applyBorder="1">
      <alignment/>
      <protection/>
    </xf>
    <xf numFmtId="0" fontId="65" fillId="24" borderId="17" xfId="109" applyFont="1" applyFill="1" applyBorder="1">
      <alignment/>
      <protection/>
    </xf>
    <xf numFmtId="0" fontId="65" fillId="24" borderId="30" xfId="109" applyFont="1" applyFill="1" applyBorder="1">
      <alignment/>
      <protection/>
    </xf>
    <xf numFmtId="0" fontId="66" fillId="24" borderId="0" xfId="109" applyFont="1" applyFill="1" applyBorder="1" applyAlignment="1">
      <alignment horizontal="center" vertical="center"/>
      <protection/>
    </xf>
    <xf numFmtId="0" fontId="65" fillId="24" borderId="0" xfId="109" applyFont="1" applyFill="1" applyBorder="1" applyAlignment="1">
      <alignment horizontal="center" vertical="center"/>
      <protection/>
    </xf>
    <xf numFmtId="0" fontId="65" fillId="24" borderId="31" xfId="109" applyFont="1" applyFill="1" applyBorder="1" applyAlignment="1">
      <alignment vertical="center"/>
      <protection/>
    </xf>
    <xf numFmtId="0" fontId="65" fillId="24" borderId="0" xfId="109" applyFont="1" applyFill="1" applyBorder="1">
      <alignment/>
      <protection/>
    </xf>
    <xf numFmtId="0" fontId="67" fillId="24" borderId="0" xfId="109" applyFont="1" applyFill="1" applyBorder="1">
      <alignment/>
      <protection/>
    </xf>
    <xf numFmtId="0" fontId="68" fillId="24" borderId="0" xfId="89" applyFont="1" applyFill="1" applyBorder="1" applyAlignment="1" applyProtection="1">
      <alignment/>
      <protection/>
    </xf>
    <xf numFmtId="0" fontId="11" fillId="5" borderId="0" xfId="109" applyFont="1" applyBorder="1" applyAlignment="1">
      <alignment vertical="center"/>
      <protection/>
    </xf>
    <xf numFmtId="0" fontId="0" fillId="5" borderId="0" xfId="109" applyFill="1" applyBorder="1">
      <alignment/>
      <protection/>
    </xf>
    <xf numFmtId="0" fontId="0" fillId="5" borderId="0" xfId="111" applyFont="1">
      <alignment/>
      <protection/>
    </xf>
    <xf numFmtId="2" fontId="0" fillId="4" borderId="26" xfId="115" applyNumberFormat="1" applyFont="1" applyFill="1" applyBorder="1" applyAlignment="1">
      <alignment horizontal="center"/>
      <protection/>
    </xf>
    <xf numFmtId="0" fontId="42" fillId="25" borderId="0" xfId="115" applyFont="1" applyFill="1">
      <alignment/>
      <protection/>
    </xf>
    <xf numFmtId="0" fontId="43" fillId="25" borderId="0" xfId="115" applyFont="1" applyFill="1">
      <alignment/>
      <protection/>
    </xf>
    <xf numFmtId="14" fontId="42" fillId="25" borderId="0" xfId="115" applyNumberFormat="1" applyFont="1" applyFill="1">
      <alignment/>
      <protection/>
    </xf>
    <xf numFmtId="14" fontId="42" fillId="25" borderId="0" xfId="115" applyNumberFormat="1" applyFont="1" applyFill="1" applyAlignment="1">
      <alignment horizontal="left"/>
      <protection/>
    </xf>
    <xf numFmtId="168" fontId="44" fillId="17" borderId="12" xfId="115" applyNumberFormat="1" applyFont="1" applyFill="1" applyBorder="1" applyAlignment="1" quotePrefix="1">
      <alignment horizontal="left" vertical="center" wrapText="1"/>
      <protection/>
    </xf>
    <xf numFmtId="167" fontId="0" fillId="4" borderId="12" xfId="115" applyNumberFormat="1" applyFont="1" applyFill="1" applyBorder="1" applyAlignment="1">
      <alignment horizontal="center"/>
      <protection/>
    </xf>
    <xf numFmtId="0" fontId="43" fillId="25" borderId="12" xfId="115" applyFont="1" applyFill="1" applyBorder="1">
      <alignment/>
      <protection/>
    </xf>
    <xf numFmtId="167" fontId="0" fillId="4" borderId="12" xfId="115" applyNumberFormat="1" applyFont="1" applyFill="1" applyBorder="1" applyAlignment="1">
      <alignment horizontal="left"/>
      <protection/>
    </xf>
    <xf numFmtId="168" fontId="10" fillId="17" borderId="12" xfId="115" applyNumberFormat="1" applyFont="1" applyFill="1" applyBorder="1" applyAlignment="1" quotePrefix="1">
      <alignment horizontal="right" vertical="center" wrapText="1"/>
      <protection/>
    </xf>
    <xf numFmtId="10" fontId="0" fillId="4" borderId="12" xfId="120"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20"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20" applyNumberFormat="1" applyFont="1" applyFill="1" applyBorder="1">
      <alignment/>
      <protection/>
    </xf>
    <xf numFmtId="49" fontId="36" fillId="17" borderId="12" xfId="120" applyNumberFormat="1" applyFont="1" applyFill="1" applyBorder="1" applyAlignment="1">
      <alignment horizontal="right" vertical="center" wrapText="1"/>
      <protection/>
    </xf>
    <xf numFmtId="0" fontId="0" fillId="5" borderId="0" xfId="120" applyFont="1">
      <alignment/>
      <protection/>
    </xf>
    <xf numFmtId="0" fontId="10" fillId="17" borderId="12" xfId="116" applyNumberFormat="1" applyFont="1" applyFill="1" applyBorder="1" applyAlignment="1">
      <alignment horizontal="left"/>
      <protection/>
    </xf>
    <xf numFmtId="0" fontId="0" fillId="17" borderId="12" xfId="116" applyNumberFormat="1" applyFont="1" applyFill="1" applyBorder="1" applyAlignment="1">
      <alignment horizontal="left"/>
      <protection/>
    </xf>
    <xf numFmtId="43" fontId="40" fillId="25" borderId="0" xfId="73" applyFont="1" applyFill="1" applyAlignment="1" applyProtection="1">
      <alignment horizontal="right"/>
      <protection locked="0"/>
    </xf>
    <xf numFmtId="49" fontId="36" fillId="17" borderId="12" xfId="120" applyNumberFormat="1" applyFont="1" applyFill="1" applyBorder="1" applyAlignment="1">
      <alignment horizontal="left" wrapText="1"/>
      <protection/>
    </xf>
    <xf numFmtId="167" fontId="69" fillId="17" borderId="12" xfId="122"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71" fontId="0" fillId="25" borderId="12" xfId="120" applyNumberFormat="1" applyFont="1" applyFill="1" applyBorder="1">
      <alignment/>
      <protection/>
    </xf>
    <xf numFmtId="14" fontId="0" fillId="4" borderId="26" xfId="115" applyNumberFormat="1" applyFont="1" applyFill="1" applyBorder="1" applyAlignment="1">
      <alignment horizontal="center"/>
      <protection/>
    </xf>
    <xf numFmtId="49" fontId="10" fillId="17" borderId="12" xfId="115" applyNumberFormat="1" applyFont="1" applyFill="1" applyBorder="1" applyAlignment="1">
      <alignment wrapText="1"/>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8" fillId="17" borderId="0" xfId="111" applyFont="1" applyFill="1" applyBorder="1">
      <alignment/>
      <protection/>
    </xf>
    <xf numFmtId="0" fontId="9" fillId="17" borderId="0" xfId="111" applyFont="1" applyFill="1" applyBorder="1">
      <alignment/>
      <protection/>
    </xf>
    <xf numFmtId="2" fontId="36" fillId="17" borderId="28" xfId="116" applyNumberFormat="1" applyFont="1" applyFill="1" applyBorder="1" applyAlignment="1">
      <alignment horizontal="center" vertical="center" wrapText="1"/>
      <protection/>
    </xf>
    <xf numFmtId="0" fontId="0" fillId="5" borderId="0" xfId="0" applyFill="1" applyAlignment="1" applyProtection="1">
      <alignment/>
      <protection locked="0"/>
    </xf>
    <xf numFmtId="0" fontId="0" fillId="5" borderId="0" xfId="0" applyFill="1" applyBorder="1" applyAlignment="1" applyProtection="1">
      <alignment/>
      <protection locked="0"/>
    </xf>
    <xf numFmtId="0" fontId="3" fillId="5" borderId="0" xfId="0" applyFont="1" applyFill="1" applyBorder="1" applyAlignment="1" applyProtection="1">
      <alignment horizontal="left"/>
      <protection locked="0"/>
    </xf>
    <xf numFmtId="0" fontId="10" fillId="5" borderId="0" xfId="0" applyFont="1" applyFill="1" applyAlignment="1" applyProtection="1">
      <alignment/>
      <protection locked="0"/>
    </xf>
    <xf numFmtId="0" fontId="10" fillId="5" borderId="0" xfId="0" applyFont="1" applyFill="1" applyBorder="1" applyAlignment="1" applyProtection="1">
      <alignment/>
      <protection locked="0"/>
    </xf>
    <xf numFmtId="0" fontId="47" fillId="20" borderId="0" xfId="0" applyFont="1" applyFill="1" applyBorder="1" applyAlignment="1" applyProtection="1">
      <alignment horizontal="right"/>
      <protection locked="0"/>
    </xf>
    <xf numFmtId="0" fontId="2" fillId="5" borderId="0" xfId="0" applyFont="1" applyFill="1" applyBorder="1" applyAlignment="1" applyProtection="1">
      <alignment horizontal="center"/>
      <protection locked="0"/>
    </xf>
    <xf numFmtId="0" fontId="2" fillId="20" borderId="0" xfId="0" applyFont="1" applyFill="1" applyBorder="1" applyAlignment="1" applyProtection="1">
      <alignment horizontal="center"/>
      <protection locked="0"/>
    </xf>
    <xf numFmtId="0" fontId="47" fillId="20" borderId="0" xfId="0" applyFont="1" applyFill="1" applyBorder="1" applyAlignment="1" applyProtection="1">
      <alignment horizontal="center"/>
      <protection locked="0"/>
    </xf>
    <xf numFmtId="0" fontId="0" fillId="5" borderId="0" xfId="0" applyFill="1" applyAlignment="1">
      <alignment/>
    </xf>
    <xf numFmtId="0" fontId="2" fillId="3" borderId="14" xfId="0" applyFont="1" applyFill="1" applyBorder="1" applyAlignment="1">
      <alignment horizontal="left" vertical="center"/>
    </xf>
    <xf numFmtId="0" fontId="39" fillId="3" borderId="14" xfId="0" applyFont="1" applyFill="1" applyBorder="1" applyAlignment="1">
      <alignment vertical="center" wrapText="1"/>
    </xf>
    <xf numFmtId="0" fontId="0" fillId="5" borderId="0" xfId="0" applyFill="1" applyBorder="1" applyAlignment="1">
      <alignment vertical="center" wrapText="1"/>
    </xf>
    <xf numFmtId="0" fontId="0" fillId="5" borderId="0" xfId="0" applyFill="1" applyAlignment="1">
      <alignment wrapText="1"/>
    </xf>
    <xf numFmtId="0" fontId="0" fillId="5" borderId="0" xfId="0" applyFill="1" applyBorder="1" applyAlignment="1">
      <alignment wrapText="1"/>
    </xf>
    <xf numFmtId="0" fontId="0" fillId="5" borderId="0" xfId="0" applyFill="1" applyAlignment="1">
      <alignment/>
    </xf>
    <xf numFmtId="0" fontId="0" fillId="5" borderId="0" xfId="0" applyFill="1" applyAlignment="1">
      <alignment horizontal="center"/>
    </xf>
    <xf numFmtId="0" fontId="0" fillId="3" borderId="14" xfId="0" applyFill="1" applyBorder="1" applyAlignment="1">
      <alignment/>
    </xf>
    <xf numFmtId="0" fontId="0" fillId="3" borderId="14" xfId="0" applyFill="1" applyBorder="1" applyAlignment="1">
      <alignment wrapText="1"/>
    </xf>
    <xf numFmtId="0" fontId="39" fillId="3" borderId="0" xfId="0" applyFont="1" applyFill="1" applyBorder="1" applyAlignment="1">
      <alignment vertical="center" wrapText="1"/>
    </xf>
    <xf numFmtId="0" fontId="0" fillId="0" borderId="0" xfId="0" applyBorder="1" applyAlignment="1">
      <alignment/>
    </xf>
    <xf numFmtId="0" fontId="70" fillId="0" borderId="0" xfId="0" applyFont="1" applyAlignment="1">
      <alignment/>
    </xf>
    <xf numFmtId="10" fontId="0" fillId="27" borderId="12" xfId="120" applyNumberFormat="1" applyFont="1" applyFill="1" applyBorder="1" applyAlignment="1">
      <alignment horizontal="right"/>
      <protection/>
    </xf>
    <xf numFmtId="14" fontId="0" fillId="4" borderId="12" xfId="120" applyNumberFormat="1" applyFont="1" applyFill="1" applyBorder="1">
      <alignment/>
      <protection/>
    </xf>
    <xf numFmtId="49" fontId="10" fillId="27" borderId="12" xfId="115" applyNumberFormat="1" applyFont="1" applyFill="1" applyBorder="1">
      <alignment/>
      <protection/>
    </xf>
    <xf numFmtId="168" fontId="36" fillId="20" borderId="0" xfId="115" applyNumberFormat="1" applyFont="1" applyFill="1" applyBorder="1" applyAlignment="1" quotePrefix="1">
      <alignment horizontal="center" vertical="center" wrapText="1"/>
      <protection/>
    </xf>
    <xf numFmtId="0" fontId="0" fillId="20" borderId="0" xfId="0" applyFill="1" applyBorder="1" applyAlignment="1">
      <alignment/>
    </xf>
    <xf numFmtId="49" fontId="10" fillId="17" borderId="25" xfId="115" applyNumberFormat="1" applyFont="1" applyFill="1" applyBorder="1">
      <alignment/>
      <protection/>
    </xf>
    <xf numFmtId="0" fontId="2" fillId="28" borderId="12" xfId="0" applyFont="1" applyFill="1" applyBorder="1" applyAlignment="1" applyProtection="1">
      <alignment horizontal="center"/>
      <protection locked="0"/>
    </xf>
    <xf numFmtId="0" fontId="47" fillId="28" borderId="12" xfId="0" applyFont="1" applyFill="1" applyBorder="1" applyAlignment="1" applyProtection="1">
      <alignment horizontal="right"/>
      <protection locked="0"/>
    </xf>
    <xf numFmtId="10" fontId="0" fillId="29" borderId="12" xfId="0" applyNumberFormat="1" applyFill="1" applyBorder="1" applyAlignment="1" applyProtection="1">
      <alignment/>
      <protection locked="0"/>
    </xf>
    <xf numFmtId="43" fontId="0" fillId="21" borderId="12" xfId="79" applyNumberFormat="1" applyFont="1" applyFill="1" applyBorder="1" applyAlignment="1">
      <alignment/>
    </xf>
    <xf numFmtId="43" fontId="0" fillId="29" borderId="12" xfId="79" applyNumberFormat="1" applyFont="1" applyFill="1" applyBorder="1" applyAlignment="1">
      <alignment/>
    </xf>
    <xf numFmtId="49" fontId="36" fillId="17" borderId="12" xfId="115" applyNumberFormat="1" applyFont="1" applyFill="1" applyBorder="1" applyAlignment="1">
      <alignment horizontal="center"/>
      <protection/>
    </xf>
    <xf numFmtId="0" fontId="0" fillId="21" borderId="12" xfId="0" applyFill="1" applyBorder="1" applyAlignment="1">
      <alignment/>
    </xf>
    <xf numFmtId="0" fontId="0" fillId="21" borderId="12" xfId="0" applyFont="1" applyFill="1" applyBorder="1" applyAlignment="1">
      <alignment/>
    </xf>
    <xf numFmtId="0" fontId="0" fillId="21" borderId="12" xfId="0" applyFont="1" applyFill="1" applyBorder="1" applyAlignment="1">
      <alignment horizontal="center"/>
    </xf>
    <xf numFmtId="0" fontId="47" fillId="20" borderId="0" xfId="0" applyFont="1" applyFill="1" applyBorder="1" applyAlignment="1" applyProtection="1">
      <alignment horizontal="right" vertical="top" wrapText="1"/>
      <protection locked="0"/>
    </xf>
    <xf numFmtId="0" fontId="2" fillId="5" borderId="0" xfId="0" applyFont="1" applyFill="1" applyBorder="1" applyAlignment="1" applyProtection="1">
      <alignment horizontal="center" vertical="top" wrapText="1"/>
      <protection locked="0"/>
    </xf>
    <xf numFmtId="0" fontId="0" fillId="0" borderId="0" xfId="0" applyAlignment="1">
      <alignment vertical="top" wrapText="1"/>
    </xf>
    <xf numFmtId="10" fontId="0" fillId="21" borderId="12" xfId="127" applyNumberFormat="1" applyFont="1" applyFill="1" applyBorder="1" applyAlignment="1">
      <alignment/>
    </xf>
    <xf numFmtId="49" fontId="10" fillId="17" borderId="13" xfId="115" applyNumberFormat="1" applyFont="1" applyFill="1" applyBorder="1">
      <alignment/>
      <protection/>
    </xf>
    <xf numFmtId="43" fontId="49" fillId="29" borderId="12" xfId="73" applyFont="1" applyFill="1" applyBorder="1" applyAlignment="1" applyProtection="1">
      <alignment horizontal="right"/>
      <protection locked="0"/>
    </xf>
    <xf numFmtId="0" fontId="0" fillId="5" borderId="0" xfId="120" applyFont="1">
      <alignment/>
      <protection/>
    </xf>
    <xf numFmtId="0" fontId="0" fillId="0" borderId="0" xfId="0" applyFont="1" applyAlignment="1">
      <alignment horizontal="center" vertical="center" wrapText="1"/>
    </xf>
    <xf numFmtId="182" fontId="36" fillId="17" borderId="12" xfId="75" applyNumberFormat="1" applyFont="1" applyFill="1" applyBorder="1" applyAlignment="1" quotePrefix="1">
      <alignment horizontal="center" vertical="center" wrapText="1"/>
    </xf>
    <xf numFmtId="187" fontId="36" fillId="17" borderId="12" xfId="116" applyNumberFormat="1" applyFont="1" applyFill="1" applyBorder="1" applyAlignment="1" quotePrefix="1">
      <alignment horizontal="center" vertical="center" wrapText="1"/>
      <protection/>
    </xf>
    <xf numFmtId="166" fontId="0" fillId="4" borderId="26" xfId="115" applyNumberFormat="1" applyFont="1" applyFill="1" applyBorder="1" applyAlignment="1">
      <alignment horizontal="right"/>
      <protection/>
    </xf>
    <xf numFmtId="166" fontId="2" fillId="7" borderId="12" xfId="73" applyNumberFormat="1" applyFont="1" applyFill="1" applyBorder="1" applyAlignment="1">
      <alignment horizontal="right"/>
    </xf>
    <xf numFmtId="0" fontId="39" fillId="5" borderId="0" xfId="111" applyFont="1">
      <alignment/>
      <protection/>
    </xf>
    <xf numFmtId="0" fontId="0" fillId="4" borderId="25" xfId="116" applyFill="1" applyBorder="1" applyAlignment="1" applyProtection="1">
      <alignment horizontal="left"/>
      <protection locked="0"/>
    </xf>
    <xf numFmtId="0" fontId="10" fillId="17" borderId="0" xfId="116" applyFont="1" applyFill="1" applyAlignment="1">
      <alignment horizontal="right" indent="1"/>
      <protection/>
    </xf>
    <xf numFmtId="0" fontId="0" fillId="17" borderId="0" xfId="116" applyFill="1">
      <alignment/>
      <protection/>
    </xf>
    <xf numFmtId="0" fontId="0" fillId="4" borderId="26" xfId="115" applyFont="1" applyFill="1" applyBorder="1" applyAlignment="1">
      <alignment horizontal="center"/>
      <protection/>
    </xf>
    <xf numFmtId="3" fontId="0" fillId="4" borderId="26" xfId="115" applyNumberFormat="1" applyFont="1" applyFill="1" applyBorder="1" applyAlignment="1">
      <alignment horizontal="center"/>
      <protection/>
    </xf>
    <xf numFmtId="0" fontId="36" fillId="17" borderId="12" xfId="116" applyFont="1" applyFill="1" applyBorder="1" applyAlignment="1" quotePrefix="1">
      <alignment horizontal="center" vertical="center" wrapText="1"/>
      <protection/>
    </xf>
    <xf numFmtId="0" fontId="0" fillId="0" borderId="0" xfId="107" applyAlignment="1">
      <alignment vertical="center"/>
      <protection/>
    </xf>
    <xf numFmtId="182" fontId="0" fillId="4" borderId="12" xfId="73" applyNumberFormat="1" applyFont="1" applyFill="1" applyBorder="1" applyAlignment="1">
      <alignment horizontal="right"/>
    </xf>
    <xf numFmtId="182" fontId="2" fillId="7" borderId="12" xfId="73" applyNumberFormat="1" applyFont="1" applyFill="1" applyBorder="1" applyAlignment="1">
      <alignment horizontal="right"/>
    </xf>
    <xf numFmtId="182" fontId="0" fillId="7" borderId="12" xfId="73" applyNumberFormat="1" applyFont="1" applyFill="1" applyBorder="1" applyAlignment="1">
      <alignment horizontal="right"/>
    </xf>
    <xf numFmtId="10" fontId="0" fillId="4" borderId="12" xfId="127" applyNumberFormat="1" applyFont="1" applyFill="1" applyBorder="1" applyAlignment="1">
      <alignment/>
    </xf>
    <xf numFmtId="10" fontId="0" fillId="21" borderId="12" xfId="127" applyNumberFormat="1" applyFont="1" applyFill="1" applyBorder="1" applyAlignment="1">
      <alignment/>
    </xf>
    <xf numFmtId="10" fontId="0" fillId="7" borderId="12" xfId="127" applyNumberFormat="1" applyFont="1" applyFill="1" applyBorder="1" applyAlignment="1">
      <alignment/>
    </xf>
    <xf numFmtId="166" fontId="0" fillId="4" borderId="12" xfId="120" applyNumberFormat="1" applyFont="1" applyFill="1" applyBorder="1" applyAlignment="1">
      <alignment/>
      <protection/>
    </xf>
    <xf numFmtId="166" fontId="0" fillId="21" borderId="12" xfId="120" applyNumberFormat="1" applyFont="1" applyFill="1" applyBorder="1" applyAlignment="1">
      <alignment/>
      <protection/>
    </xf>
    <xf numFmtId="166" fontId="0" fillId="7" borderId="12" xfId="73" applyNumberFormat="1" applyFont="1" applyFill="1" applyBorder="1" applyAlignment="1">
      <alignment/>
    </xf>
    <xf numFmtId="43" fontId="0" fillId="7" borderId="12" xfId="73" applyNumberFormat="1" applyFont="1" applyFill="1" applyBorder="1" applyAlignment="1">
      <alignment horizontal="right"/>
    </xf>
    <xf numFmtId="171" fontId="0" fillId="4" borderId="12" xfId="120" applyNumberFormat="1" applyFont="1" applyFill="1" applyBorder="1" applyAlignment="1">
      <alignment horizontal="center"/>
      <protection/>
    </xf>
    <xf numFmtId="3" fontId="0" fillId="4" borderId="12" xfId="120" applyNumberFormat="1" applyFont="1" applyFill="1" applyBorder="1" applyAlignment="1">
      <alignment horizontal="center"/>
      <protection/>
    </xf>
    <xf numFmtId="171" fontId="0" fillId="4" borderId="12" xfId="120" applyNumberFormat="1" applyFont="1" applyFill="1" applyBorder="1" applyAlignment="1">
      <alignment horizontal="center" wrapText="1"/>
      <protection/>
    </xf>
    <xf numFmtId="3" fontId="0" fillId="4" borderId="12" xfId="120" applyNumberFormat="1" applyFont="1" applyFill="1" applyBorder="1" applyAlignment="1">
      <alignment horizontal="right"/>
      <protection/>
    </xf>
    <xf numFmtId="43" fontId="0" fillId="4" borderId="12" xfId="73" applyFont="1" applyFill="1" applyBorder="1" applyAlignment="1">
      <alignment horizontal="center"/>
    </xf>
    <xf numFmtId="0" fontId="0" fillId="4" borderId="12" xfId="120" applyNumberFormat="1" applyFont="1" applyFill="1" applyBorder="1" applyAlignment="1">
      <alignment horizontal="center"/>
      <protection/>
    </xf>
    <xf numFmtId="0" fontId="0" fillId="4" borderId="12" xfId="73" applyNumberFormat="1" applyFont="1" applyFill="1" applyBorder="1" applyAlignment="1">
      <alignment horizontal="center"/>
    </xf>
    <xf numFmtId="167" fontId="0" fillId="4" borderId="28" xfId="122" applyNumberFormat="1" applyFont="1" applyFill="1" applyBorder="1" applyAlignment="1">
      <alignment horizontal="center" vertical="top"/>
      <protection/>
    </xf>
    <xf numFmtId="171" fontId="0" fillId="4" borderId="26" xfId="115" applyNumberFormat="1" applyFont="1" applyFill="1" applyBorder="1" applyAlignment="1">
      <alignment horizontal="center"/>
      <protection/>
    </xf>
    <xf numFmtId="0" fontId="0" fillId="0" borderId="0" xfId="0" applyFont="1" applyAlignment="1" quotePrefix="1">
      <alignment vertical="center" wrapText="1"/>
    </xf>
    <xf numFmtId="43" fontId="10" fillId="17" borderId="25" xfId="116" applyNumberFormat="1" applyFont="1" applyFill="1" applyBorder="1">
      <alignment/>
      <protection/>
    </xf>
    <xf numFmtId="43" fontId="10" fillId="17" borderId="25" xfId="115" applyNumberFormat="1" applyFont="1" applyFill="1" applyBorder="1">
      <alignment/>
      <protection/>
    </xf>
    <xf numFmtId="2" fontId="36" fillId="17" borderId="12" xfId="116" applyNumberFormat="1" applyFont="1" applyFill="1" applyBorder="1" applyAlignment="1">
      <alignment horizontal="center" vertical="center" wrapText="1"/>
      <protection/>
    </xf>
    <xf numFmtId="0" fontId="0" fillId="5" borderId="0" xfId="117">
      <alignment/>
      <protection/>
    </xf>
    <xf numFmtId="0" fontId="1" fillId="5" borderId="0" xfId="117" applyFont="1">
      <alignment/>
      <protection/>
    </xf>
    <xf numFmtId="0" fontId="42" fillId="25" borderId="0" xfId="117" applyFont="1" applyFill="1">
      <alignment/>
      <protection/>
    </xf>
    <xf numFmtId="0" fontId="43" fillId="25" borderId="0" xfId="117" applyFont="1" applyFill="1">
      <alignment/>
      <protection/>
    </xf>
    <xf numFmtId="14" fontId="42" fillId="25" borderId="0" xfId="117" applyNumberFormat="1" applyFont="1" applyFill="1">
      <alignment/>
      <protection/>
    </xf>
    <xf numFmtId="14" fontId="42" fillId="25" borderId="0" xfId="117" applyNumberFormat="1" applyFont="1" applyFill="1" applyAlignment="1">
      <alignment horizontal="left"/>
      <protection/>
    </xf>
    <xf numFmtId="182" fontId="0" fillId="4" borderId="12" xfId="78" applyNumberFormat="1" applyFont="1" applyFill="1" applyBorder="1" applyAlignment="1">
      <alignment/>
    </xf>
    <xf numFmtId="0" fontId="0" fillId="20" borderId="0" xfId="117" applyFont="1" applyFill="1">
      <alignment/>
      <protection/>
    </xf>
    <xf numFmtId="0" fontId="0" fillId="20" borderId="0" xfId="119" applyFont="1" applyFill="1" applyAlignment="1">
      <alignment vertical="center"/>
      <protection/>
    </xf>
    <xf numFmtId="0" fontId="0" fillId="5" borderId="0" xfId="117" applyFont="1">
      <alignment/>
      <protection/>
    </xf>
    <xf numFmtId="166" fontId="0" fillId="4" borderId="12" xfId="78" applyNumberFormat="1" applyFont="1" applyFill="1" applyBorder="1" applyAlignment="1">
      <alignment/>
    </xf>
    <xf numFmtId="166" fontId="38" fillId="7" borderId="12" xfId="78" applyNumberFormat="1" applyFont="1" applyFill="1" applyBorder="1" applyAlignment="1">
      <alignment/>
    </xf>
    <xf numFmtId="0" fontId="10" fillId="17" borderId="12" xfId="116" applyFont="1" applyFill="1" applyBorder="1" applyAlignment="1">
      <alignment horizontal="left"/>
      <protection/>
    </xf>
    <xf numFmtId="41" fontId="4" fillId="17" borderId="13" xfId="116" applyNumberFormat="1" applyFont="1" applyFill="1" applyBorder="1">
      <alignment/>
      <protection/>
    </xf>
    <xf numFmtId="43" fontId="0" fillId="17" borderId="12" xfId="78" applyFont="1" applyFill="1" applyBorder="1" applyAlignment="1">
      <alignment/>
    </xf>
    <xf numFmtId="166" fontId="37" fillId="7" borderId="12" xfId="78" applyNumberFormat="1" applyFont="1" applyFill="1" applyBorder="1" applyAlignment="1">
      <alignment/>
    </xf>
    <xf numFmtId="10" fontId="0" fillId="4" borderId="12" xfId="129" applyNumberFormat="1" applyFont="1" applyFill="1" applyBorder="1" applyAlignment="1">
      <alignment/>
    </xf>
    <xf numFmtId="182" fontId="0" fillId="4" borderId="12" xfId="78" applyNumberFormat="1" applyFont="1" applyFill="1" applyBorder="1" applyAlignment="1">
      <alignment horizontal="right"/>
    </xf>
    <xf numFmtId="182" fontId="0" fillId="7" borderId="12" xfId="78" applyNumberFormat="1" applyFont="1" applyFill="1" applyBorder="1" applyAlignment="1">
      <alignment horizontal="right"/>
    </xf>
    <xf numFmtId="43" fontId="0" fillId="7" borderId="12" xfId="78" applyFont="1" applyFill="1" applyBorder="1" applyAlignment="1">
      <alignment horizontal="right"/>
    </xf>
    <xf numFmtId="43" fontId="0" fillId="4" borderId="12" xfId="78" applyFont="1" applyFill="1" applyBorder="1" applyAlignment="1">
      <alignment horizontal="right"/>
    </xf>
    <xf numFmtId="0" fontId="35" fillId="5" borderId="0" xfId="114" applyFont="1" applyFill="1">
      <alignment/>
      <protection/>
    </xf>
    <xf numFmtId="0" fontId="63" fillId="5" borderId="0" xfId="112" applyFont="1">
      <alignment/>
      <protection/>
    </xf>
    <xf numFmtId="167" fontId="2" fillId="5" borderId="0" xfId="117" applyNumberFormat="1" applyFont="1" applyAlignment="1">
      <alignment horizontal="left"/>
      <protection/>
    </xf>
    <xf numFmtId="49" fontId="0" fillId="5" borderId="0" xfId="117" applyNumberFormat="1" applyFont="1">
      <alignment/>
      <protection/>
    </xf>
    <xf numFmtId="2" fontId="0" fillId="5" borderId="0" xfId="117" applyNumberFormat="1" applyFont="1">
      <alignment/>
      <protection/>
    </xf>
    <xf numFmtId="49" fontId="36" fillId="17" borderId="12" xfId="117" applyNumberFormat="1" applyFont="1" applyFill="1" applyBorder="1" applyAlignment="1">
      <alignment horizontal="center" vertical="center" wrapText="1"/>
      <protection/>
    </xf>
    <xf numFmtId="168" fontId="36" fillId="17" borderId="12" xfId="117" applyNumberFormat="1" applyFont="1" applyFill="1" applyBorder="1" applyAlignment="1" quotePrefix="1">
      <alignment horizontal="center" vertical="center" wrapText="1"/>
      <protection/>
    </xf>
    <xf numFmtId="2" fontId="36" fillId="17" borderId="12" xfId="117" applyNumberFormat="1" applyFont="1" applyFill="1" applyBorder="1" applyAlignment="1">
      <alignment horizontal="center" vertical="center" wrapText="1"/>
      <protection/>
    </xf>
    <xf numFmtId="167" fontId="10" fillId="17" borderId="12" xfId="117" applyNumberFormat="1" applyFont="1" applyFill="1" applyBorder="1" applyAlignment="1">
      <alignment horizontal="left"/>
      <protection/>
    </xf>
    <xf numFmtId="0" fontId="10" fillId="17" borderId="12" xfId="117" applyFont="1" applyFill="1" applyBorder="1">
      <alignment/>
      <protection/>
    </xf>
    <xf numFmtId="2" fontId="10" fillId="17" borderId="12" xfId="78" applyNumberFormat="1" applyFont="1" applyFill="1" applyBorder="1" applyAlignment="1">
      <alignment horizontal="center"/>
    </xf>
    <xf numFmtId="0" fontId="36" fillId="17" borderId="12" xfId="117" applyFont="1" applyFill="1" applyBorder="1">
      <alignment/>
      <protection/>
    </xf>
    <xf numFmtId="1" fontId="10" fillId="17" borderId="12" xfId="78" applyNumberFormat="1" applyFont="1" applyFill="1" applyBorder="1" applyAlignment="1">
      <alignment horizontal="center"/>
    </xf>
    <xf numFmtId="0" fontId="71" fillId="5" borderId="0" xfId="117" applyFont="1" applyAlignment="1">
      <alignment horizontal="center"/>
      <protection/>
    </xf>
    <xf numFmtId="49" fontId="10" fillId="17" borderId="12" xfId="117" applyNumberFormat="1" applyFont="1" applyFill="1" applyBorder="1">
      <alignment/>
      <protection/>
    </xf>
    <xf numFmtId="166" fontId="0" fillId="7" borderId="12" xfId="75" applyNumberFormat="1" applyFont="1" applyFill="1" applyBorder="1" applyAlignment="1">
      <alignment horizontal="right"/>
    </xf>
    <xf numFmtId="166" fontId="72" fillId="5" borderId="0" xfId="117" applyNumberFormat="1" applyFont="1">
      <alignment/>
      <protection/>
    </xf>
    <xf numFmtId="0" fontId="72" fillId="5" borderId="0" xfId="117" applyFont="1">
      <alignment/>
      <protection/>
    </xf>
    <xf numFmtId="166" fontId="0" fillId="4" borderId="12" xfId="75" applyNumberFormat="1" applyFont="1" applyFill="1" applyBorder="1" applyAlignment="1">
      <alignment horizontal="right"/>
    </xf>
    <xf numFmtId="167" fontId="0" fillId="17" borderId="12" xfId="117" applyNumberFormat="1" applyFont="1" applyFill="1" applyBorder="1" applyAlignment="1">
      <alignment horizontal="left"/>
      <protection/>
    </xf>
    <xf numFmtId="49" fontId="10" fillId="19" borderId="12" xfId="117" applyNumberFormat="1" applyFont="1" applyFill="1" applyBorder="1">
      <alignment/>
      <protection/>
    </xf>
    <xf numFmtId="166" fontId="2" fillId="7" borderId="12" xfId="75" applyNumberFormat="1" applyFont="1" applyFill="1" applyBorder="1" applyAlignment="1">
      <alignment horizontal="right"/>
    </xf>
    <xf numFmtId="182" fontId="2" fillId="7" borderId="12" xfId="78" applyNumberFormat="1" applyFont="1" applyFill="1" applyBorder="1" applyAlignment="1">
      <alignment horizontal="right"/>
    </xf>
    <xf numFmtId="166" fontId="10" fillId="17" borderId="12" xfId="75" applyNumberFormat="1" applyFont="1" applyFill="1" applyBorder="1" applyAlignment="1">
      <alignment horizontal="center"/>
    </xf>
    <xf numFmtId="182" fontId="10" fillId="17" borderId="12" xfId="78" applyNumberFormat="1" applyFont="1" applyFill="1" applyBorder="1" applyAlignment="1">
      <alignment horizontal="center"/>
    </xf>
    <xf numFmtId="49" fontId="36" fillId="17" borderId="12" xfId="117" applyNumberFormat="1" applyFont="1" applyFill="1" applyBorder="1" applyAlignment="1">
      <alignment horizontal="left"/>
      <protection/>
    </xf>
    <xf numFmtId="49" fontId="10" fillId="17" borderId="12" xfId="117" applyNumberFormat="1" applyFont="1" applyFill="1" applyBorder="1" applyAlignment="1">
      <alignment horizontal="left"/>
      <protection/>
    </xf>
    <xf numFmtId="166" fontId="0" fillId="4" borderId="12" xfId="78" applyNumberFormat="1" applyFont="1" applyFill="1" applyBorder="1" applyAlignment="1">
      <alignment horizontal="right"/>
    </xf>
    <xf numFmtId="49" fontId="10" fillId="17" borderId="12" xfId="117" applyNumberFormat="1" applyFont="1" applyFill="1" applyBorder="1" applyAlignment="1">
      <alignment horizontal="left" wrapText="1"/>
      <protection/>
    </xf>
    <xf numFmtId="182" fontId="0" fillId="5" borderId="0" xfId="117" applyNumberFormat="1">
      <alignment/>
      <protection/>
    </xf>
    <xf numFmtId="166" fontId="0" fillId="5" borderId="0" xfId="117" applyNumberFormat="1">
      <alignment/>
      <protection/>
    </xf>
    <xf numFmtId="0" fontId="73" fillId="0" borderId="0" xfId="117" applyFont="1" applyFill="1" applyAlignment="1">
      <alignment horizontal="center"/>
      <protection/>
    </xf>
    <xf numFmtId="0" fontId="0" fillId="0" borderId="0" xfId="117" applyFill="1">
      <alignment/>
      <protection/>
    </xf>
    <xf numFmtId="0" fontId="74" fillId="0" borderId="0" xfId="117" applyFont="1" applyFill="1">
      <alignment/>
      <protection/>
    </xf>
    <xf numFmtId="167" fontId="0" fillId="4" borderId="26" xfId="117" applyNumberFormat="1" applyFont="1" applyFill="1" applyBorder="1" applyAlignment="1">
      <alignment horizontal="left"/>
      <protection/>
    </xf>
    <xf numFmtId="166" fontId="0" fillId="4" borderId="26" xfId="117" applyNumberFormat="1" applyFont="1" applyFill="1" applyBorder="1" applyAlignment="1">
      <alignment horizontal="right"/>
      <protection/>
    </xf>
    <xf numFmtId="0" fontId="0" fillId="0" borderId="0" xfId="117" applyFont="1" applyFill="1">
      <alignment/>
      <protection/>
    </xf>
    <xf numFmtId="0" fontId="0" fillId="25" borderId="0" xfId="117" applyFill="1">
      <alignment/>
      <protection/>
    </xf>
    <xf numFmtId="0" fontId="1" fillId="25" borderId="0" xfId="117" applyFont="1" applyFill="1">
      <alignment/>
      <protection/>
    </xf>
    <xf numFmtId="0" fontId="35" fillId="25" borderId="0" xfId="114" applyFont="1" applyFill="1">
      <alignment/>
      <protection/>
    </xf>
    <xf numFmtId="0" fontId="63" fillId="25" borderId="0" xfId="112" applyFont="1" applyFill="1">
      <alignment/>
      <protection/>
    </xf>
    <xf numFmtId="182" fontId="0" fillId="5" borderId="0" xfId="73" applyNumberFormat="1" applyFont="1" applyFill="1" applyAlignment="1">
      <alignment/>
    </xf>
    <xf numFmtId="166" fontId="38" fillId="7" borderId="12" xfId="75" applyNumberFormat="1" applyFont="1" applyFill="1" applyBorder="1" applyAlignment="1">
      <alignment/>
    </xf>
    <xf numFmtId="10" fontId="0" fillId="5" borderId="0" xfId="127" applyNumberFormat="1" applyFont="1" applyFill="1" applyAlignment="1">
      <alignment/>
    </xf>
    <xf numFmtId="189" fontId="0" fillId="5" borderId="0" xfId="117" applyNumberFormat="1">
      <alignment/>
      <protection/>
    </xf>
    <xf numFmtId="43" fontId="0" fillId="5" borderId="0" xfId="73" applyFont="1" applyFill="1" applyBorder="1" applyAlignment="1">
      <alignment vertical="center" wrapText="1"/>
    </xf>
    <xf numFmtId="188" fontId="0" fillId="7" borderId="12" xfId="75" applyNumberFormat="1" applyFont="1" applyFill="1" applyBorder="1" applyAlignment="1">
      <alignment horizontal="right"/>
    </xf>
    <xf numFmtId="14" fontId="0" fillId="0" borderId="13" xfId="0" applyNumberFormat="1" applyBorder="1" applyAlignment="1">
      <alignment vertical="center"/>
    </xf>
    <xf numFmtId="0" fontId="0" fillId="0" borderId="14" xfId="0"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vertical="center" wrapText="1"/>
    </xf>
    <xf numFmtId="0" fontId="0" fillId="0" borderId="26" xfId="0" applyFont="1" applyBorder="1" applyAlignment="1">
      <alignment vertical="center" wrapText="1"/>
    </xf>
    <xf numFmtId="193" fontId="0" fillId="4" borderId="12" xfId="127" applyNumberFormat="1" applyFont="1" applyFill="1" applyBorder="1" applyAlignment="1">
      <alignment/>
    </xf>
    <xf numFmtId="43" fontId="0" fillId="4" borderId="12" xfId="78" applyFont="1" applyFill="1" applyBorder="1" applyAlignment="1">
      <alignment horizontal="center"/>
    </xf>
    <xf numFmtId="167" fontId="0" fillId="17" borderId="12" xfId="117" applyNumberFormat="1" applyFont="1" applyFill="1" applyBorder="1" applyAlignment="1">
      <alignment horizontal="center"/>
      <protection/>
    </xf>
    <xf numFmtId="167" fontId="10" fillId="17" borderId="12" xfId="117" applyNumberFormat="1" applyFont="1" applyFill="1" applyBorder="1" applyAlignment="1">
      <alignment horizontal="center"/>
      <protection/>
    </xf>
    <xf numFmtId="0" fontId="3" fillId="5" borderId="22" xfId="111" applyFont="1" applyBorder="1" applyAlignment="1" applyProtection="1">
      <alignment/>
      <protection locked="0"/>
    </xf>
    <xf numFmtId="0" fontId="0" fillId="5" borderId="23" xfId="111" applyBorder="1" applyAlignment="1">
      <alignment/>
      <protection/>
    </xf>
    <xf numFmtId="0" fontId="0" fillId="5" borderId="24" xfId="111" applyBorder="1" applyAlignment="1">
      <alignment/>
      <protection/>
    </xf>
    <xf numFmtId="164" fontId="2" fillId="7" borderId="18" xfId="65" applyFont="1" applyBorder="1" applyAlignment="1">
      <alignment horizontal="left"/>
      <protection/>
    </xf>
    <xf numFmtId="0" fontId="0" fillId="5" borderId="19" xfId="111" applyBorder="1" applyAlignment="1">
      <alignment/>
      <protection/>
    </xf>
    <xf numFmtId="0" fontId="0" fillId="5" borderId="20" xfId="111" applyBorder="1" applyAlignment="1">
      <alignment/>
      <protection/>
    </xf>
    <xf numFmtId="164" fontId="2" fillId="4" borderId="10" xfId="92" applyFont="1" applyFill="1" applyBorder="1" applyAlignment="1">
      <alignment horizontal="left"/>
      <protection locked="0"/>
    </xf>
    <xf numFmtId="0" fontId="0" fillId="4" borderId="0" xfId="111" applyFill="1" applyBorder="1" applyAlignment="1">
      <alignment/>
      <protection/>
    </xf>
    <xf numFmtId="0" fontId="0" fillId="4" borderId="11" xfId="111" applyFill="1" applyBorder="1" applyAlignment="1">
      <alignment/>
      <protection/>
    </xf>
    <xf numFmtId="0" fontId="10" fillId="17" borderId="0" xfId="115" applyFont="1" applyFill="1" applyBorder="1" applyAlignment="1">
      <alignment horizontal="right" indent="1"/>
      <protection/>
    </xf>
    <xf numFmtId="0" fontId="10" fillId="17" borderId="32" xfId="115" applyFont="1" applyFill="1" applyBorder="1" applyAlignment="1">
      <alignment horizontal="right" indent="1"/>
      <protection/>
    </xf>
    <xf numFmtId="0" fontId="0" fillId="4" borderId="13" xfId="115" applyFont="1" applyFill="1" applyBorder="1" applyAlignment="1" applyProtection="1">
      <alignment horizontal="left"/>
      <protection locked="0"/>
    </xf>
    <xf numFmtId="0" fontId="0" fillId="4" borderId="14" xfId="115" applyFont="1" applyFill="1" applyBorder="1" applyAlignment="1" applyProtection="1">
      <alignment horizontal="left"/>
      <protection locked="0"/>
    </xf>
    <xf numFmtId="0" fontId="0" fillId="4" borderId="26" xfId="115" applyFont="1" applyFill="1" applyBorder="1" applyAlignment="1" applyProtection="1">
      <alignment horizontal="left"/>
      <protection locked="0"/>
    </xf>
    <xf numFmtId="0" fontId="3" fillId="4" borderId="12" xfId="111" applyFont="1" applyFill="1" applyBorder="1" applyAlignment="1">
      <alignment/>
      <protection/>
    </xf>
    <xf numFmtId="0" fontId="39" fillId="4" borderId="12" xfId="111" applyFont="1" applyFill="1" applyBorder="1" applyAlignment="1">
      <alignment/>
      <protection/>
    </xf>
    <xf numFmtId="14" fontId="9" fillId="4" borderId="14" xfId="111" applyNumberFormat="1" applyFont="1" applyFill="1" applyBorder="1" applyAlignment="1">
      <alignment/>
      <protection/>
    </xf>
    <xf numFmtId="14" fontId="0" fillId="4" borderId="14" xfId="110" applyNumberFormat="1" applyFill="1" applyBorder="1" applyAlignment="1">
      <alignment/>
      <protection/>
    </xf>
    <xf numFmtId="14" fontId="0" fillId="4" borderId="26" xfId="110" applyNumberFormat="1" applyFill="1" applyBorder="1" applyAlignment="1">
      <alignment/>
      <protection/>
    </xf>
    <xf numFmtId="0" fontId="13" fillId="4" borderId="13" xfId="89" applyFill="1" applyBorder="1" applyAlignment="1" applyProtection="1">
      <alignment horizontal="left"/>
      <protection locked="0"/>
    </xf>
    <xf numFmtId="0" fontId="0" fillId="4" borderId="14" xfId="116" applyFill="1" applyBorder="1" applyAlignment="1" applyProtection="1">
      <alignment horizontal="left"/>
      <protection locked="0"/>
    </xf>
    <xf numFmtId="0" fontId="0" fillId="4" borderId="26" xfId="116" applyFill="1" applyBorder="1" applyAlignment="1" applyProtection="1">
      <alignment horizontal="left"/>
      <protection locked="0"/>
    </xf>
    <xf numFmtId="0" fontId="0" fillId="4" borderId="13" xfId="116" applyFill="1" applyBorder="1" applyAlignment="1" applyProtection="1">
      <alignment horizontal="left"/>
      <protection locked="0"/>
    </xf>
    <xf numFmtId="0" fontId="0" fillId="5" borderId="14" xfId="116" applyBorder="1">
      <alignment/>
      <protection/>
    </xf>
    <xf numFmtId="0" fontId="0" fillId="5" borderId="26" xfId="116" applyBorder="1">
      <alignment/>
      <protection/>
    </xf>
    <xf numFmtId="0" fontId="0" fillId="0" borderId="0" xfId="111" applyFont="1" applyFill="1" applyBorder="1" applyAlignment="1" applyProtection="1">
      <alignment/>
      <protection/>
    </xf>
    <xf numFmtId="0" fontId="0" fillId="5" borderId="0" xfId="111" applyBorder="1" applyAlignment="1">
      <alignment/>
      <protection/>
    </xf>
    <xf numFmtId="0" fontId="3" fillId="0" borderId="0" xfId="111" applyFont="1" applyFill="1" applyAlignment="1">
      <alignment/>
      <protection/>
    </xf>
    <xf numFmtId="0" fontId="39" fillId="0" borderId="0" xfId="110" applyFont="1" applyFill="1" applyAlignment="1">
      <alignment/>
      <protection/>
    </xf>
    <xf numFmtId="0" fontId="3" fillId="4" borderId="14" xfId="111" applyFont="1" applyFill="1" applyBorder="1" applyAlignment="1">
      <alignment/>
      <protection/>
    </xf>
    <xf numFmtId="0" fontId="3" fillId="4" borderId="26" xfId="111" applyFont="1" applyFill="1" applyBorder="1" applyAlignment="1">
      <alignment/>
      <protection/>
    </xf>
    <xf numFmtId="0" fontId="15" fillId="18" borderId="0" xfId="109" applyFont="1" applyFill="1" applyBorder="1" applyAlignment="1">
      <alignment horizontal="left" vertical="center"/>
      <protection/>
    </xf>
    <xf numFmtId="0" fontId="2" fillId="3" borderId="14" xfId="0" applyFont="1" applyFill="1" applyBorder="1" applyAlignment="1">
      <alignment horizontal="left" vertical="center"/>
    </xf>
    <xf numFmtId="2" fontId="36" fillId="17" borderId="29" xfId="116" applyNumberFormat="1" applyFont="1" applyFill="1" applyBorder="1" applyAlignment="1">
      <alignment horizontal="center" vertical="center" wrapText="1"/>
      <protection/>
    </xf>
    <xf numFmtId="2" fontId="36" fillId="17" borderId="27" xfId="116" applyNumberFormat="1" applyFont="1" applyFill="1" applyBorder="1" applyAlignment="1">
      <alignment horizontal="center" vertical="center" wrapText="1"/>
      <protection/>
    </xf>
    <xf numFmtId="0" fontId="1" fillId="0" borderId="0" xfId="117" applyFont="1" applyFill="1" applyAlignment="1">
      <alignment horizontal="left"/>
      <protection/>
    </xf>
    <xf numFmtId="0" fontId="3" fillId="0" borderId="0" xfId="119" applyFont="1" applyFill="1" applyAlignment="1">
      <alignment horizontal="left" vertical="center"/>
      <protection/>
    </xf>
    <xf numFmtId="2" fontId="36" fillId="17" borderId="13" xfId="117" applyNumberFormat="1" applyFont="1" applyFill="1" applyBorder="1" applyAlignment="1">
      <alignment horizontal="center" vertical="center" wrapText="1"/>
      <protection/>
    </xf>
    <xf numFmtId="2" fontId="36" fillId="17" borderId="14" xfId="117" applyNumberFormat="1" applyFont="1" applyFill="1" applyBorder="1" applyAlignment="1">
      <alignment horizontal="center" vertical="center" wrapText="1"/>
      <protection/>
    </xf>
    <xf numFmtId="2" fontId="36" fillId="17" borderId="26" xfId="117" applyNumberFormat="1" applyFont="1" applyFill="1" applyBorder="1" applyAlignment="1">
      <alignment horizontal="center" vertical="center" wrapText="1"/>
      <protection/>
    </xf>
    <xf numFmtId="0" fontId="1" fillId="0" borderId="0" xfId="115" applyFont="1" applyFill="1" applyAlignment="1">
      <alignment/>
      <protection/>
    </xf>
    <xf numFmtId="0" fontId="3" fillId="0" borderId="0" xfId="118" applyFont="1" applyFill="1" applyBorder="1" applyAlignment="1">
      <alignment horizontal="left" vertical="center"/>
      <protection/>
    </xf>
    <xf numFmtId="2" fontId="36" fillId="17" borderId="13" xfId="115" applyNumberFormat="1" applyFont="1" applyFill="1" applyBorder="1" applyAlignment="1">
      <alignment horizontal="center" vertical="center" wrapText="1"/>
      <protection/>
    </xf>
    <xf numFmtId="2" fontId="36" fillId="17" borderId="14" xfId="115" applyNumberFormat="1" applyFont="1" applyFill="1" applyBorder="1" applyAlignment="1">
      <alignment horizontal="center" vertical="center" wrapText="1"/>
      <protection/>
    </xf>
    <xf numFmtId="2" fontId="36" fillId="17" borderId="26" xfId="115" applyNumberFormat="1" applyFont="1" applyFill="1" applyBorder="1" applyAlignment="1">
      <alignment horizontal="center" vertical="center" wrapText="1"/>
      <protection/>
    </xf>
    <xf numFmtId="0" fontId="1" fillId="5" borderId="0" xfId="120" applyFont="1" applyAlignment="1">
      <alignment/>
      <protection/>
    </xf>
    <xf numFmtId="168" fontId="10" fillId="17" borderId="13" xfId="115" applyNumberFormat="1" applyFont="1" applyFill="1" applyBorder="1" applyAlignment="1" quotePrefix="1">
      <alignment horizontal="right" vertical="center" wrapText="1"/>
      <protection/>
    </xf>
    <xf numFmtId="168" fontId="10" fillId="17" borderId="26" xfId="115" applyNumberFormat="1" applyFont="1" applyFill="1" applyBorder="1" applyAlignment="1" quotePrefix="1">
      <alignment horizontal="right" vertical="center" wrapText="1"/>
      <protection/>
    </xf>
    <xf numFmtId="0" fontId="1" fillId="5" borderId="0" xfId="117" applyFont="1">
      <alignment/>
      <protection/>
    </xf>
    <xf numFmtId="0" fontId="36" fillId="19" borderId="13" xfId="120" applyFont="1" applyFill="1" applyBorder="1" applyAlignment="1">
      <alignment horizontal="right"/>
      <protection/>
    </xf>
    <xf numFmtId="0" fontId="36" fillId="19" borderId="14" xfId="120" applyFont="1" applyFill="1" applyBorder="1" applyAlignment="1">
      <alignment horizontal="right"/>
      <protection/>
    </xf>
    <xf numFmtId="0" fontId="36" fillId="19" borderId="26" xfId="120" applyFont="1" applyFill="1" applyBorder="1" applyAlignment="1">
      <alignment horizontal="right"/>
      <protection/>
    </xf>
    <xf numFmtId="49" fontId="36" fillId="17" borderId="28" xfId="122" applyNumberFormat="1" applyFont="1" applyFill="1" applyBorder="1" applyAlignment="1">
      <alignment horizontal="center" vertical="center" wrapText="1"/>
      <protection/>
    </xf>
    <xf numFmtId="49" fontId="36" fillId="17" borderId="0" xfId="122" applyNumberFormat="1" applyFont="1" applyFill="1" applyBorder="1" applyAlignment="1">
      <alignment horizontal="center" vertical="center" wrapText="1"/>
      <protection/>
    </xf>
    <xf numFmtId="0" fontId="75" fillId="30"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20" applyNumberFormat="1" applyFont="1" applyFill="1" applyBorder="1" applyAlignment="1">
      <alignment horizontal="center" vertical="center" wrapText="1"/>
      <protection/>
    </xf>
    <xf numFmtId="49" fontId="36" fillId="17" borderId="14" xfId="120" applyNumberFormat="1" applyFont="1" applyFill="1" applyBorder="1" applyAlignment="1">
      <alignment horizontal="center" vertical="center" wrapText="1"/>
      <protection/>
    </xf>
    <xf numFmtId="49" fontId="36" fillId="17" borderId="26" xfId="120" applyNumberFormat="1" applyFont="1" applyFill="1" applyBorder="1" applyAlignment="1">
      <alignment horizontal="center" vertical="center" wrapText="1"/>
      <protection/>
    </xf>
    <xf numFmtId="0" fontId="1" fillId="5" borderId="0" xfId="115" applyFont="1" applyAlignment="1">
      <alignment/>
      <protection/>
    </xf>
    <xf numFmtId="0" fontId="0" fillId="5" borderId="0" xfId="115" applyAlignment="1">
      <alignment/>
      <protection/>
    </xf>
    <xf numFmtId="0" fontId="75" fillId="31"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75" fillId="32" borderId="13" xfId="0" applyNumberFormat="1" applyFont="1" applyFill="1" applyBorder="1" applyAlignment="1" applyProtection="1">
      <alignment horizontal="center" vertical="center"/>
      <protection locked="0"/>
    </xf>
    <xf numFmtId="0" fontId="75" fillId="32" borderId="14" xfId="0" applyNumberFormat="1" applyFont="1" applyFill="1" applyBorder="1" applyAlignment="1" applyProtection="1">
      <alignment horizontal="center" vertical="center"/>
      <protection locked="0"/>
    </xf>
    <xf numFmtId="0" fontId="75" fillId="32"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75" fillId="33" borderId="29" xfId="0" applyNumberFormat="1" applyFont="1" applyFill="1" applyBorder="1" applyAlignment="1" applyProtection="1">
      <alignment horizontal="center" vertical="center"/>
      <protection locked="0"/>
    </xf>
    <xf numFmtId="0" fontId="75" fillId="33" borderId="27" xfId="0" applyNumberFormat="1" applyFont="1" applyFill="1" applyBorder="1" applyAlignment="1" applyProtection="1">
      <alignment horizontal="center" vertical="center"/>
      <protection locked="0"/>
    </xf>
    <xf numFmtId="167" fontId="0" fillId="4" borderId="12" xfId="115" applyNumberFormat="1" applyFont="1" applyFill="1" applyBorder="1" applyAlignment="1">
      <alignment horizontal="left"/>
      <protection/>
    </xf>
    <xf numFmtId="168" fontId="36" fillId="17" borderId="13" xfId="115" applyNumberFormat="1" applyFont="1" applyFill="1" applyBorder="1" applyAlignment="1" quotePrefix="1">
      <alignment horizontal="left" vertical="center" wrapText="1"/>
      <protection/>
    </xf>
    <xf numFmtId="168" fontId="36" fillId="17" borderId="14" xfId="115" applyNumberFormat="1" applyFont="1" applyFill="1" applyBorder="1" applyAlignment="1" quotePrefix="1">
      <alignment horizontal="left" vertical="center" wrapText="1"/>
      <protection/>
    </xf>
    <xf numFmtId="168" fontId="36" fillId="17" borderId="26" xfId="115" applyNumberFormat="1" applyFont="1" applyFill="1" applyBorder="1" applyAlignment="1" quotePrefix="1">
      <alignment horizontal="left" vertical="center" wrapText="1"/>
      <protection/>
    </xf>
  </cellXfs>
  <cellStyles count="12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4" xfId="78"/>
    <cellStyle name="Currency" xfId="79"/>
    <cellStyle name="Currency [0]" xfId="80"/>
    <cellStyle name="Explanatory Text" xfId="81"/>
    <cellStyle name="Followed Hyperlink" xfId="82"/>
    <cellStyle name="Good" xfId="83"/>
    <cellStyle name="Good 2" xfId="84"/>
    <cellStyle name="Heading 1" xfId="85"/>
    <cellStyle name="Heading 2" xfId="86"/>
    <cellStyle name="Heading 3" xfId="87"/>
    <cellStyle name="Heading 4" xfId="88"/>
    <cellStyle name="Hyperlink" xfId="89"/>
    <cellStyle name="Input" xfId="90"/>
    <cellStyle name="Input 2" xfId="91"/>
    <cellStyle name="Input1" xfId="92"/>
    <cellStyle name="Input1 2" xfId="93"/>
    <cellStyle name="Input1 2 2" xfId="94"/>
    <cellStyle name="Input1 3" xfId="95"/>
    <cellStyle name="Input2" xfId="96"/>
    <cellStyle name="Input2 2" xfId="97"/>
    <cellStyle name="Input3" xfId="98"/>
    <cellStyle name="Input3 2" xfId="99"/>
    <cellStyle name="Input3 2 2" xfId="100"/>
    <cellStyle name="Input3 3" xfId="101"/>
    <cellStyle name="Linked Cell" xfId="102"/>
    <cellStyle name="Neutral" xfId="103"/>
    <cellStyle name="Neutral 2" xfId="104"/>
    <cellStyle name="Normal 2" xfId="105"/>
    <cellStyle name="Normal 2 2" xfId="106"/>
    <cellStyle name="Normal 3" xfId="107"/>
    <cellStyle name="Normal 3 2" xfId="108"/>
    <cellStyle name="Normal_2010 06 02 - Urgent RIN for Vic DNSPs revised proposals" xfId="109"/>
    <cellStyle name="Normal_2010 06 22 - AA - Scheme Templates for data collection" xfId="110"/>
    <cellStyle name="Normal_2010 06 22 - IE - Scheme Template for data collection" xfId="111"/>
    <cellStyle name="Normal_2010 06 22 - IE - Scheme Template for data collection 2" xfId="112"/>
    <cellStyle name="Normal_Book1" xfId="113"/>
    <cellStyle name="Normal_Book1 2" xfId="114"/>
    <cellStyle name="Normal_D11 2371025  Financial information - 2012 Draft RIN - Ausgrid" xfId="115"/>
    <cellStyle name="Normal_D11 2371025  Financial information - 2012 Draft RIN - Ausgrid 2" xfId="116"/>
    <cellStyle name="Normal_D11 2371025  Financial information - 2012 Draft RIN - Ausgrid 3" xfId="117"/>
    <cellStyle name="Normal_D12 1569  Opex, DMIS, EBSS - 2012 draft RIN - Ausgrid" xfId="118"/>
    <cellStyle name="Normal_D12 1569  Opex, DMIS, EBSS - 2012 draft RIN - Ausgrid 2" xfId="119"/>
    <cellStyle name="Normal_D12 16703  Overheads, Avoided Cost, ACS, Demand and Revenue - 2012 draft RIN - Ausgrid" xfId="120"/>
    <cellStyle name="Normal_D12 16703  Overheads, Avoided Cost, ACS, Demand and Revenue - 2012 draft RIN - Ausgrid 2" xfId="121"/>
    <cellStyle name="Normal_Sheet1" xfId="122"/>
    <cellStyle name="Note" xfId="123"/>
    <cellStyle name="Note 2" xfId="124"/>
    <cellStyle name="Output" xfId="125"/>
    <cellStyle name="Output 2" xfId="126"/>
    <cellStyle name="Percent" xfId="127"/>
    <cellStyle name="Percent 2" xfId="128"/>
    <cellStyle name="Percent 3" xfId="129"/>
    <cellStyle name="Style 1" xfId="130"/>
    <cellStyle name="Style 1 2" xfId="131"/>
    <cellStyle name="Style 1 2 2" xfId="132"/>
    <cellStyle name="Style 1 3" xfId="133"/>
    <cellStyle name="Title" xfId="134"/>
    <cellStyle name="Total" xfId="135"/>
    <cellStyle name="Warning Text"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summary'!A1"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4 Recovered capital'!Print_Area" /><Relationship Id="rId14" Type="http://schemas.openxmlformats.org/officeDocument/2006/relationships/hyperlink" Target="#'5.1 Exempt WAP services'!Print_Area" /><Relationship Id="rId15" Type="http://schemas.openxmlformats.org/officeDocument/2006/relationships/hyperlink" Target="#'3.2 Shared supporting assets'!Print_Area" /><Relationship Id="rId16" Type="http://schemas.openxmlformats.org/officeDocument/2006/relationships/hyperlink" Target="#'4.1 Pipelines capex'!Print_Area" /><Relationship Id="rId17" Type="http://schemas.openxmlformats.org/officeDocument/2006/relationships/hyperlink" Target="#'Amendment record'!A1" /><Relationship Id="rId18" Type="http://schemas.openxmlformats.org/officeDocument/2006/relationships/hyperlink" Target="#'5.2 Actual Pricing'!Print_Area"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image" Target="../media/image2.png" /><Relationship Id="rId4"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8</xdr:row>
      <xdr:rowOff>19050</xdr:rowOff>
    </xdr:to>
    <xdr:sp>
      <xdr:nvSpPr>
        <xdr:cNvPr id="1" name="AutoShape 15">
          <a:hlinkClick r:id="rId1"/>
        </xdr:cNvPr>
        <xdr:cNvSpPr>
          <a:spLocks/>
        </xdr:cNvSpPr>
      </xdr:nvSpPr>
      <xdr:spPr>
        <a:xfrm>
          <a:off x="771525" y="1152525"/>
          <a:ext cx="2524125" cy="5715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8</xdr:row>
      <xdr:rowOff>180975</xdr:rowOff>
    </xdr:from>
    <xdr:to>
      <xdr:col>4</xdr:col>
      <xdr:colOff>295275</xdr:colOff>
      <xdr:row>11</xdr:row>
      <xdr:rowOff>180975</xdr:rowOff>
    </xdr:to>
    <xdr:sp>
      <xdr:nvSpPr>
        <xdr:cNvPr id="2" name="AutoShape 2">
          <a:hlinkClick r:id="rId2"/>
        </xdr:cNvPr>
        <xdr:cNvSpPr>
          <a:spLocks/>
        </xdr:cNvSpPr>
      </xdr:nvSpPr>
      <xdr:spPr>
        <a:xfrm>
          <a:off x="790575" y="18859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19050</xdr:colOff>
      <xdr:row>16</xdr:row>
      <xdr:rowOff>133350</xdr:rowOff>
    </xdr:from>
    <xdr:to>
      <xdr:col>4</xdr:col>
      <xdr:colOff>304800</xdr:colOff>
      <xdr:row>19</xdr:row>
      <xdr:rowOff>142875</xdr:rowOff>
    </xdr:to>
    <xdr:sp>
      <xdr:nvSpPr>
        <xdr:cNvPr id="3" name="AutoShape 2">
          <a:hlinkClick r:id="rId3"/>
        </xdr:cNvPr>
        <xdr:cNvSpPr>
          <a:spLocks/>
        </xdr:cNvSpPr>
      </xdr:nvSpPr>
      <xdr:spPr>
        <a:xfrm>
          <a:off x="809625" y="3362325"/>
          <a:ext cx="251460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0</xdr:colOff>
      <xdr:row>28</xdr:row>
      <xdr:rowOff>104775</xdr:rowOff>
    </xdr:from>
    <xdr:to>
      <xdr:col>4</xdr:col>
      <xdr:colOff>295275</xdr:colOff>
      <xdr:row>31</xdr:row>
      <xdr:rowOff>104775</xdr:rowOff>
    </xdr:to>
    <xdr:sp>
      <xdr:nvSpPr>
        <xdr:cNvPr id="4" name="AutoShape 2">
          <a:hlinkClick r:id="rId4"/>
        </xdr:cNvPr>
        <xdr:cNvSpPr>
          <a:spLocks/>
        </xdr:cNvSpPr>
      </xdr:nvSpPr>
      <xdr:spPr>
        <a:xfrm>
          <a:off x="790575" y="563880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0</xdr:colOff>
      <xdr:row>24</xdr:row>
      <xdr:rowOff>161925</xdr:rowOff>
    </xdr:from>
    <xdr:to>
      <xdr:col>4</xdr:col>
      <xdr:colOff>295275</xdr:colOff>
      <xdr:row>27</xdr:row>
      <xdr:rowOff>161925</xdr:rowOff>
    </xdr:to>
    <xdr:sp>
      <xdr:nvSpPr>
        <xdr:cNvPr id="5" name="AutoShape 2">
          <a:hlinkClick r:id="rId5"/>
        </xdr:cNvPr>
        <xdr:cNvSpPr>
          <a:spLocks/>
        </xdr:cNvSpPr>
      </xdr:nvSpPr>
      <xdr:spPr>
        <a:xfrm>
          <a:off x="790575" y="49339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9525</xdr:colOff>
      <xdr:row>12</xdr:row>
      <xdr:rowOff>133350</xdr:rowOff>
    </xdr:from>
    <xdr:to>
      <xdr:col>4</xdr:col>
      <xdr:colOff>304800</xdr:colOff>
      <xdr:row>15</xdr:row>
      <xdr:rowOff>133350</xdr:rowOff>
    </xdr:to>
    <xdr:sp>
      <xdr:nvSpPr>
        <xdr:cNvPr id="6" name="AutoShape 2">
          <a:hlinkClick r:id="rId6"/>
        </xdr:cNvPr>
        <xdr:cNvSpPr>
          <a:spLocks/>
        </xdr:cNvSpPr>
      </xdr:nvSpPr>
      <xdr:spPr>
        <a:xfrm>
          <a:off x="800100" y="2600325"/>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summary
</a:t>
          </a:r>
        </a:p>
      </xdr:txBody>
    </xdr:sp>
    <xdr:clientData/>
  </xdr:twoCellAnchor>
  <xdr:twoCellAnchor>
    <xdr:from>
      <xdr:col>2</xdr:col>
      <xdr:colOff>9525</xdr:colOff>
      <xdr:row>32</xdr:row>
      <xdr:rowOff>85725</xdr:rowOff>
    </xdr:from>
    <xdr:to>
      <xdr:col>4</xdr:col>
      <xdr:colOff>304800</xdr:colOff>
      <xdr:row>35</xdr:row>
      <xdr:rowOff>66675</xdr:rowOff>
    </xdr:to>
    <xdr:sp>
      <xdr:nvSpPr>
        <xdr:cNvPr id="7" name="AutoShape 2">
          <a:hlinkClick r:id="rId7"/>
        </xdr:cNvPr>
        <xdr:cNvSpPr>
          <a:spLocks/>
        </xdr:cNvSpPr>
      </xdr:nvSpPr>
      <xdr:spPr>
        <a:xfrm>
          <a:off x="800100" y="6381750"/>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2</xdr:col>
      <xdr:colOff>28575</xdr:colOff>
      <xdr:row>36</xdr:row>
      <xdr:rowOff>19050</xdr:rowOff>
    </xdr:from>
    <xdr:to>
      <xdr:col>4</xdr:col>
      <xdr:colOff>314325</xdr:colOff>
      <xdr:row>39</xdr:row>
      <xdr:rowOff>19050</xdr:rowOff>
    </xdr:to>
    <xdr:sp>
      <xdr:nvSpPr>
        <xdr:cNvPr id="8" name="AutoShape 2">
          <a:hlinkClick r:id="rId8"/>
        </xdr:cNvPr>
        <xdr:cNvSpPr>
          <a:spLocks/>
        </xdr:cNvSpPr>
      </xdr:nvSpPr>
      <xdr:spPr>
        <a:xfrm>
          <a:off x="819150" y="7077075"/>
          <a:ext cx="251460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5</xdr:col>
      <xdr:colOff>114300</xdr:colOff>
      <xdr:row>20</xdr:row>
      <xdr:rowOff>171450</xdr:rowOff>
    </xdr:from>
    <xdr:to>
      <xdr:col>8</xdr:col>
      <xdr:colOff>0</xdr:colOff>
      <xdr:row>23</xdr:row>
      <xdr:rowOff>161925</xdr:rowOff>
    </xdr:to>
    <xdr:sp>
      <xdr:nvSpPr>
        <xdr:cNvPr id="9" name="AutoShape 2">
          <a:hlinkClick r:id="rId9"/>
        </xdr:cNvPr>
        <xdr:cNvSpPr>
          <a:spLocks noChangeAspect="1"/>
        </xdr:cNvSpPr>
      </xdr:nvSpPr>
      <xdr:spPr>
        <a:xfrm>
          <a:off x="4133850" y="4162425"/>
          <a:ext cx="249555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5</xdr:col>
      <xdr:colOff>57150</xdr:colOff>
      <xdr:row>32</xdr:row>
      <xdr:rowOff>47625</xdr:rowOff>
    </xdr:from>
    <xdr:to>
      <xdr:col>7</xdr:col>
      <xdr:colOff>1085850</xdr:colOff>
      <xdr:row>35</xdr:row>
      <xdr:rowOff>47625</xdr:rowOff>
    </xdr:to>
    <xdr:sp>
      <xdr:nvSpPr>
        <xdr:cNvPr id="10" name="AutoShape 2">
          <a:hlinkClick r:id="rId10"/>
        </xdr:cNvPr>
        <xdr:cNvSpPr>
          <a:spLocks/>
        </xdr:cNvSpPr>
      </xdr:nvSpPr>
      <xdr:spPr>
        <a:xfrm>
          <a:off x="4076700" y="63436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5</xdr:col>
      <xdr:colOff>133350</xdr:colOff>
      <xdr:row>5</xdr:row>
      <xdr:rowOff>47625</xdr:rowOff>
    </xdr:from>
    <xdr:to>
      <xdr:col>8</xdr:col>
      <xdr:colOff>47625</xdr:colOff>
      <xdr:row>8</xdr:row>
      <xdr:rowOff>57150</xdr:rowOff>
    </xdr:to>
    <xdr:sp>
      <xdr:nvSpPr>
        <xdr:cNvPr id="11" name="AutoShape 2">
          <a:hlinkClick r:id="rId11"/>
        </xdr:cNvPr>
        <xdr:cNvSpPr>
          <a:spLocks/>
        </xdr:cNvSpPr>
      </xdr:nvSpPr>
      <xdr:spPr>
        <a:xfrm>
          <a:off x="4152900" y="1181100"/>
          <a:ext cx="2524125"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19050</xdr:colOff>
      <xdr:row>20</xdr:row>
      <xdr:rowOff>190500</xdr:rowOff>
    </xdr:from>
    <xdr:to>
      <xdr:col>4</xdr:col>
      <xdr:colOff>304800</xdr:colOff>
      <xdr:row>23</xdr:row>
      <xdr:rowOff>180975</xdr:rowOff>
    </xdr:to>
    <xdr:sp>
      <xdr:nvSpPr>
        <xdr:cNvPr id="12" name="AutoShape 2">
          <a:hlinkClick r:id="rId12"/>
        </xdr:cNvPr>
        <xdr:cNvSpPr>
          <a:spLocks/>
        </xdr:cNvSpPr>
      </xdr:nvSpPr>
      <xdr:spPr>
        <a:xfrm>
          <a:off x="809625" y="4181475"/>
          <a:ext cx="251460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5</xdr:col>
      <xdr:colOff>114300</xdr:colOff>
      <xdr:row>12</xdr:row>
      <xdr:rowOff>180975</xdr:rowOff>
    </xdr:from>
    <xdr:to>
      <xdr:col>8</xdr:col>
      <xdr:colOff>28575</xdr:colOff>
      <xdr:row>15</xdr:row>
      <xdr:rowOff>180975</xdr:rowOff>
    </xdr:to>
    <xdr:sp>
      <xdr:nvSpPr>
        <xdr:cNvPr id="13" name="AutoShape 2">
          <a:hlinkClick r:id="rId13"/>
        </xdr:cNvPr>
        <xdr:cNvSpPr>
          <a:spLocks/>
        </xdr:cNvSpPr>
      </xdr:nvSpPr>
      <xdr:spPr>
        <a:xfrm>
          <a:off x="4133850" y="26479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5</xdr:col>
      <xdr:colOff>76200</xdr:colOff>
      <xdr:row>24</xdr:row>
      <xdr:rowOff>152400</xdr:rowOff>
    </xdr:from>
    <xdr:to>
      <xdr:col>7</xdr:col>
      <xdr:colOff>1104900</xdr:colOff>
      <xdr:row>27</xdr:row>
      <xdr:rowOff>152400</xdr:rowOff>
    </xdr:to>
    <xdr:sp>
      <xdr:nvSpPr>
        <xdr:cNvPr id="14" name="AutoShape 2">
          <a:hlinkClick r:id="rId14"/>
        </xdr:cNvPr>
        <xdr:cNvSpPr>
          <a:spLocks/>
        </xdr:cNvSpPr>
      </xdr:nvSpPr>
      <xdr:spPr>
        <a:xfrm>
          <a:off x="4095750" y="4924425"/>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5</xdr:col>
      <xdr:colOff>133350</xdr:colOff>
      <xdr:row>8</xdr:row>
      <xdr:rowOff>171450</xdr:rowOff>
    </xdr:from>
    <xdr:to>
      <xdr:col>8</xdr:col>
      <xdr:colOff>38100</xdr:colOff>
      <xdr:row>11</xdr:row>
      <xdr:rowOff>180975</xdr:rowOff>
    </xdr:to>
    <xdr:sp>
      <xdr:nvSpPr>
        <xdr:cNvPr id="15" name="AutoShape 2">
          <a:hlinkClick r:id="rId15"/>
        </xdr:cNvPr>
        <xdr:cNvSpPr>
          <a:spLocks/>
        </xdr:cNvSpPr>
      </xdr:nvSpPr>
      <xdr:spPr>
        <a:xfrm>
          <a:off x="4152900" y="1876425"/>
          <a:ext cx="251460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Shared supporting assets</a:t>
          </a:r>
        </a:p>
      </xdr:txBody>
    </xdr:sp>
    <xdr:clientData/>
  </xdr:twoCellAnchor>
  <xdr:twoCellAnchor>
    <xdr:from>
      <xdr:col>5</xdr:col>
      <xdr:colOff>95250</xdr:colOff>
      <xdr:row>16</xdr:row>
      <xdr:rowOff>171450</xdr:rowOff>
    </xdr:from>
    <xdr:to>
      <xdr:col>8</xdr:col>
      <xdr:colOff>0</xdr:colOff>
      <xdr:row>19</xdr:row>
      <xdr:rowOff>171450</xdr:rowOff>
    </xdr:to>
    <xdr:sp>
      <xdr:nvSpPr>
        <xdr:cNvPr id="16" name="AutoShape 2">
          <a:hlinkClick r:id="rId16"/>
        </xdr:cNvPr>
        <xdr:cNvSpPr>
          <a:spLocks/>
        </xdr:cNvSpPr>
      </xdr:nvSpPr>
      <xdr:spPr>
        <a:xfrm>
          <a:off x="4114800" y="3400425"/>
          <a:ext cx="251460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5</xdr:col>
      <xdr:colOff>38100</xdr:colOff>
      <xdr:row>36</xdr:row>
      <xdr:rowOff>19050</xdr:rowOff>
    </xdr:from>
    <xdr:to>
      <xdr:col>7</xdr:col>
      <xdr:colOff>1066800</xdr:colOff>
      <xdr:row>38</xdr:row>
      <xdr:rowOff>180975</xdr:rowOff>
    </xdr:to>
    <xdr:sp>
      <xdr:nvSpPr>
        <xdr:cNvPr id="17" name="AutoShape 2">
          <a:hlinkClick r:id="rId17"/>
        </xdr:cNvPr>
        <xdr:cNvSpPr>
          <a:spLocks/>
        </xdr:cNvSpPr>
      </xdr:nvSpPr>
      <xdr:spPr>
        <a:xfrm>
          <a:off x="4057650" y="70770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5</xdr:col>
      <xdr:colOff>76200</xdr:colOff>
      <xdr:row>28</xdr:row>
      <xdr:rowOff>142875</xdr:rowOff>
    </xdr:from>
    <xdr:to>
      <xdr:col>7</xdr:col>
      <xdr:colOff>1104900</xdr:colOff>
      <xdr:row>31</xdr:row>
      <xdr:rowOff>142875</xdr:rowOff>
    </xdr:to>
    <xdr:sp>
      <xdr:nvSpPr>
        <xdr:cNvPr id="18" name="AutoShape 2">
          <a:hlinkClick r:id="rId18"/>
        </xdr:cNvPr>
        <xdr:cNvSpPr>
          <a:spLocks/>
        </xdr:cNvSpPr>
      </xdr:nvSpPr>
      <xdr:spPr>
        <a:xfrm>
          <a:off x="4095750" y="567690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5.2 Actual Pricing</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0</xdr:col>
      <xdr:colOff>723900</xdr:colOff>
      <xdr:row>0</xdr:row>
      <xdr:rowOff>133350</xdr:rowOff>
    </xdr:to>
    <xdr:sp>
      <xdr:nvSpPr>
        <xdr:cNvPr id="2" name="AutoShape 45">
          <a:hlinkClick r:id="rId2"/>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editAs="oneCell">
    <xdr:from>
      <xdr:col>0</xdr:col>
      <xdr:colOff>200025</xdr:colOff>
      <xdr:row>3</xdr:row>
      <xdr:rowOff>104775</xdr:rowOff>
    </xdr:from>
    <xdr:to>
      <xdr:col>3</xdr:col>
      <xdr:colOff>4714875</xdr:colOff>
      <xdr:row>70</xdr:row>
      <xdr:rowOff>85725</xdr:rowOff>
    </xdr:to>
    <xdr:pic>
      <xdr:nvPicPr>
        <xdr:cNvPr id="3" name="Picture 2"/>
        <xdr:cNvPicPr preferRelativeResize="1">
          <a:picLocks noChangeAspect="1"/>
        </xdr:cNvPicPr>
      </xdr:nvPicPr>
      <xdr:blipFill>
        <a:blip r:embed="rId3"/>
        <a:stretch>
          <a:fillRect/>
        </a:stretch>
      </xdr:blipFill>
      <xdr:spPr>
        <a:xfrm>
          <a:off x="200025" y="752475"/>
          <a:ext cx="7848600" cy="10925175"/>
        </a:xfrm>
        <a:prstGeom prst="rect">
          <a:avLst/>
        </a:prstGeom>
        <a:noFill/>
        <a:ln w="9525" cmpd="sng">
          <a:noFill/>
        </a:ln>
      </xdr:spPr>
    </xdr:pic>
    <xdr:clientData/>
  </xdr:twoCellAnchor>
  <xdr:twoCellAnchor editAs="oneCell">
    <xdr:from>
      <xdr:col>3</xdr:col>
      <xdr:colOff>4819650</xdr:colOff>
      <xdr:row>3</xdr:row>
      <xdr:rowOff>114300</xdr:rowOff>
    </xdr:from>
    <xdr:to>
      <xdr:col>14</xdr:col>
      <xdr:colOff>447675</xdr:colOff>
      <xdr:row>70</xdr:row>
      <xdr:rowOff>104775</xdr:rowOff>
    </xdr:to>
    <xdr:pic>
      <xdr:nvPicPr>
        <xdr:cNvPr id="4" name="Picture 2"/>
        <xdr:cNvPicPr preferRelativeResize="1">
          <a:picLocks noChangeAspect="1"/>
        </xdr:cNvPicPr>
      </xdr:nvPicPr>
      <xdr:blipFill>
        <a:blip r:embed="rId4"/>
        <a:stretch>
          <a:fillRect/>
        </a:stretch>
      </xdr:blipFill>
      <xdr:spPr>
        <a:xfrm>
          <a:off x="8153400" y="762000"/>
          <a:ext cx="7486650" cy="10934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123825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704850</xdr:colOff>
      <xdr:row>0</xdr:row>
      <xdr:rowOff>142875</xdr:rowOff>
    </xdr:to>
    <xdr:sp>
      <xdr:nvSpPr>
        <xdr:cNvPr id="1" name="AutoShape 45">
          <a:hlinkClick r:id="rId1"/>
        </xdr:cNvPr>
        <xdr:cNvSpPr>
          <a:spLocks/>
        </xdr:cNvSpPr>
      </xdr:nvSpPr>
      <xdr:spPr>
        <a:xfrm>
          <a:off x="0" y="0"/>
          <a:ext cx="70485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19-20\Drafts\AER%20-%20Final%20-%20Light%20regulation%20-%20Financial%20reporting%20template%20-%20DRAFT%203%202021-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19-20\Source%20Data\Envestra%20Qld%20-%20PTRM%20-%20LightReg%20J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19-20\AER%20-%20Final%20-%20Light%20regulation%20-%20Financial%20reporting%20template%20-%2030%20July%202020%20(1)_AGN%20Queensland%201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20-21\Drafts\AER%20-%20Final%20-%20Light%20regulation%20-%20Financial%20reporting%20template%20-%20DRAFT%201%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TaxCalc"/>
      <sheetName val="1.1 Financial summary"/>
      <sheetName val="1.1 Financial summary AGN"/>
      <sheetName val="3. Statement of pipeline assets"/>
      <sheetName val="2. Revenues and expenses"/>
      <sheetName val="2.1 Revenue by service"/>
      <sheetName val="2.2 Revenue contributions "/>
      <sheetName val="2.3 Indirect revenue"/>
      <sheetName val="2.4 Shared costs"/>
      <sheetName val="3.1 Pipeline asset useful life"/>
      <sheetName val="3.2 Shared supporting assets"/>
      <sheetName val="4 Recovered capital"/>
      <sheetName val="4.1 Pipelines capex"/>
      <sheetName val="5. Weighted average price"/>
      <sheetName val="5.1 Exempt WAP services"/>
      <sheetName val="5.2 Actual Pricing"/>
      <sheetName val="6. Notes"/>
      <sheetName val="Amendment record"/>
      <sheetName val="Amendment record AGN"/>
      <sheetName val="RFAHistory"/>
      <sheetName val="Sheet1"/>
    </sheetNames>
    <sheetDataSet>
      <sheetData sheetId="0">
        <row r="15">
          <cell r="C15" t="str">
            <v>Australian Gas Networks Limited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s"/>
      <sheetName val="Input"/>
      <sheetName val="WACC"/>
      <sheetName val="Assets"/>
      <sheetName val="Analysis"/>
      <sheetName val="Smoothing"/>
      <sheetName val="Revenue summary"/>
      <sheetName val="REFERENCE TARIFFS REVENUE"/>
      <sheetName val="REFERENCE TARIFFS"/>
      <sheetName val="DEMAND FORECASTS"/>
      <sheetName val="Price path (nominal)"/>
      <sheetName val="Price path (real)"/>
      <sheetName val="Chart 1-MAR"/>
      <sheetName val="Chart 2-Price path"/>
      <sheetName val="Chart 3-Building blocks"/>
    </sheetNames>
    <sheetDataSet>
      <sheetData sheetId="3">
        <row r="27">
          <cell r="F27">
            <v>0.09766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summary"/>
      <sheetName val="2. Revenues and expenses"/>
      <sheetName val="2.1 Revenue by service"/>
      <sheetName val="2.2 Revenue contributions "/>
      <sheetName val="2.3 Indirect revenue"/>
      <sheetName val="2.4 Shared costs"/>
      <sheetName val="3. Statement of pipeline assets"/>
      <sheetName val="3.1 Pipeline asset useful life"/>
      <sheetName val="3.2 Shared supporting assets"/>
      <sheetName val="4 Recovered capital"/>
      <sheetName val="4.1 Pipelines capex"/>
      <sheetName val="5. Weighted average price"/>
      <sheetName val="5.1 Exempt WAP services"/>
      <sheetName val="5.2 Actual Pricing"/>
      <sheetName val="6. Notes"/>
      <sheetName val="Amendment record"/>
      <sheetName val="Sheet1"/>
    </sheetNames>
    <sheetDataSet>
      <sheetData sheetId="0">
        <row r="15">
          <cell r="C15" t="str">
            <v>Australian Gas Networks Limited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TaxCalc"/>
      <sheetName val="1.1 Financial summarybyfy"/>
      <sheetName val="1.1 Financial summary AGN"/>
      <sheetName val="2. Revenues and expenses"/>
      <sheetName val="2.1 Revenue by service"/>
      <sheetName val="2.2 Revenue contributions "/>
      <sheetName val="2.3 Indirect revenue"/>
      <sheetName val="2.4 Shared costs"/>
      <sheetName val="3. Statement of pipeline assets"/>
      <sheetName val="3.1 Pipeline asset useful life"/>
      <sheetName val="3.2 Shared supporting assets"/>
      <sheetName val="4 Recovered capital"/>
      <sheetName val="4.1 Pipelines capex"/>
      <sheetName val="5. Weighted average price"/>
      <sheetName val="5.1 Exempt WAP services"/>
      <sheetName val="5.2 Actual Pricing"/>
      <sheetName val="6. Notes"/>
      <sheetName val="Amendment record"/>
      <sheetName val="Amendment record AGN"/>
      <sheetName val="RFAHistory"/>
      <sheetName val="Sheet1"/>
      <sheetName val="1.1 Financial summary"/>
    </sheetNames>
    <sheetDataSet>
      <sheetData sheetId="0">
        <row r="15">
          <cell r="C15" t="str">
            <v>Australian Gas Networks Limited</v>
          </cell>
        </row>
        <row r="23">
          <cell r="C23">
            <v>44561</v>
          </cell>
        </row>
      </sheetData>
    </sheetDataSet>
  </externalBook>
</externalLink>
</file>

<file path=xl/tables/table1.xml><?xml version="1.0" encoding="utf-8"?>
<table xmlns="http://schemas.openxmlformats.org/spreadsheetml/2006/main" id="1" name="Table1" displayName="Table1" ref="A2:G29" comment="" totalsRowShown="0">
  <autoFilter ref="A2:G29"/>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ables/table2.xml><?xml version="1.0" encoding="utf-8"?>
<table xmlns="http://schemas.openxmlformats.org/spreadsheetml/2006/main" id="35" name="Table166" displayName="Table166" ref="A2:G30" comment="" totalsRowShown="0">
  <autoFilter ref="A2:G30"/>
  <tableColumns count="7">
    <tableColumn id="1" name="Date"/>
    <tableColumn id="2" name="AGN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bucki@agig.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J41"/>
  <sheetViews>
    <sheetView tabSelected="1" zoomScalePageLayoutView="0" workbookViewId="0" topLeftCell="A1">
      <selection activeCell="E13" sqref="E13"/>
    </sheetView>
  </sheetViews>
  <sheetFormatPr defaultColWidth="9.140625" defaultRowHeight="12.75"/>
  <cols>
    <col min="1" max="1" width="26.57421875" style="2" customWidth="1"/>
    <col min="2" max="2" width="23.57421875" style="2" customWidth="1"/>
    <col min="3" max="3" width="9.140625" style="2" customWidth="1"/>
    <col min="4" max="4" width="18.28125" style="2" customWidth="1"/>
    <col min="5" max="5" width="37.2812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26</v>
      </c>
    </row>
    <row r="2" ht="20.25">
      <c r="A2" s="1" t="s">
        <v>165</v>
      </c>
    </row>
    <row r="4" ht="12.75">
      <c r="A4" s="3" t="s">
        <v>27</v>
      </c>
    </row>
    <row r="5" ht="13.5" thickBot="1"/>
    <row r="6" spans="1:9" ht="15.75">
      <c r="A6" s="353" t="s">
        <v>2</v>
      </c>
      <c r="B6" s="354"/>
      <c r="C6" s="354"/>
      <c r="D6" s="354"/>
      <c r="E6" s="354"/>
      <c r="F6" s="354"/>
      <c r="G6" s="354"/>
      <c r="H6" s="354"/>
      <c r="I6" s="355"/>
    </row>
    <row r="7" spans="1:9" ht="12.75">
      <c r="A7" s="4" t="s">
        <v>3</v>
      </c>
      <c r="B7" s="5"/>
      <c r="C7" s="5"/>
      <c r="D7" s="5"/>
      <c r="E7" s="5"/>
      <c r="F7" s="5"/>
      <c r="G7" s="5"/>
      <c r="H7" s="5"/>
      <c r="I7" s="6"/>
    </row>
    <row r="8" spans="1:9" ht="12.75">
      <c r="A8" s="359" t="s">
        <v>4</v>
      </c>
      <c r="B8" s="360"/>
      <c r="C8" s="360"/>
      <c r="D8" s="360"/>
      <c r="E8" s="360"/>
      <c r="F8" s="360"/>
      <c r="G8" s="360"/>
      <c r="H8" s="360"/>
      <c r="I8" s="361"/>
    </row>
    <row r="9" spans="1:9" ht="13.5" thickBot="1">
      <c r="A9" s="356" t="s">
        <v>5</v>
      </c>
      <c r="B9" s="357"/>
      <c r="C9" s="357"/>
      <c r="D9" s="357"/>
      <c r="E9" s="357"/>
      <c r="F9" s="357"/>
      <c r="G9" s="357"/>
      <c r="H9" s="357"/>
      <c r="I9" s="358"/>
    </row>
    <row r="10" spans="1:9" ht="12.75">
      <c r="A10" s="378"/>
      <c r="B10" s="379"/>
      <c r="C10" s="379"/>
      <c r="D10" s="379"/>
      <c r="E10" s="379"/>
      <c r="F10" s="379"/>
      <c r="G10" s="379"/>
      <c r="H10" s="379"/>
      <c r="I10" s="379"/>
    </row>
    <row r="11" spans="1:7" ht="12.75">
      <c r="A11" s="7" t="s">
        <v>6</v>
      </c>
      <c r="B11" s="8"/>
      <c r="C11" s="8"/>
      <c r="D11" s="9"/>
      <c r="E11" s="9"/>
      <c r="F11" s="9"/>
      <c r="G11" s="9"/>
    </row>
    <row r="12" ht="12.75">
      <c r="A12" s="10" t="s">
        <v>7</v>
      </c>
    </row>
    <row r="14" ht="12.75">
      <c r="J14" s="11"/>
    </row>
    <row r="15" spans="1:5" ht="18">
      <c r="A15" s="12" t="s">
        <v>215</v>
      </c>
      <c r="B15" s="13"/>
      <c r="C15" s="367" t="s">
        <v>374</v>
      </c>
      <c r="D15" s="368"/>
      <c r="E15" s="368"/>
    </row>
    <row r="16" spans="1:5" ht="18">
      <c r="A16" s="14"/>
      <c r="B16" s="14"/>
      <c r="C16" s="244"/>
      <c r="D16" s="244"/>
      <c r="E16" s="244"/>
    </row>
    <row r="17" spans="1:5" ht="18">
      <c r="A17" s="12" t="s">
        <v>28</v>
      </c>
      <c r="B17" s="13"/>
      <c r="C17" s="367" t="s">
        <v>375</v>
      </c>
      <c r="D17" s="368"/>
      <c r="E17" s="368"/>
    </row>
    <row r="18" spans="1:5" ht="18">
      <c r="A18" s="14"/>
      <c r="B18" s="14"/>
      <c r="C18" s="380"/>
      <c r="D18" s="381"/>
      <c r="E18" s="381"/>
    </row>
    <row r="19" spans="1:8" ht="18">
      <c r="A19" s="15" t="s">
        <v>216</v>
      </c>
      <c r="B19" s="16"/>
      <c r="C19" s="382" t="s">
        <v>376</v>
      </c>
      <c r="D19" s="382"/>
      <c r="E19" s="383"/>
      <c r="H19" s="155"/>
    </row>
    <row r="21" spans="1:5" ht="18">
      <c r="A21" s="15" t="s">
        <v>166</v>
      </c>
      <c r="B21" s="16"/>
      <c r="C21" s="369">
        <v>44562</v>
      </c>
      <c r="D21" s="370"/>
      <c r="E21" s="371"/>
    </row>
    <row r="23" spans="1:5" ht="18">
      <c r="A23" s="15" t="s">
        <v>167</v>
      </c>
      <c r="B23" s="16"/>
      <c r="C23" s="369">
        <v>44926</v>
      </c>
      <c r="D23" s="370"/>
      <c r="E23" s="371"/>
    </row>
    <row r="25" spans="1:5" ht="18">
      <c r="A25" s="192" t="s">
        <v>246</v>
      </c>
      <c r="B25" s="193"/>
      <c r="C25" s="369">
        <v>40725</v>
      </c>
      <c r="D25" s="370"/>
      <c r="E25" s="371"/>
    </row>
    <row r="27" ht="13.5" thickBot="1"/>
    <row r="28" spans="1:8" ht="12.75">
      <c r="A28" s="66"/>
      <c r="B28" s="67"/>
      <c r="C28" s="67"/>
      <c r="D28" s="67"/>
      <c r="E28" s="68"/>
      <c r="F28" s="68"/>
      <c r="G28" s="68"/>
      <c r="H28" s="69"/>
    </row>
    <row r="29" spans="1:8" ht="12.75">
      <c r="A29" s="70" t="s">
        <v>8</v>
      </c>
      <c r="B29" s="362" t="s">
        <v>9</v>
      </c>
      <c r="C29" s="363"/>
      <c r="D29" s="364" t="s">
        <v>377</v>
      </c>
      <c r="E29" s="365"/>
      <c r="F29" s="365"/>
      <c r="G29" s="366"/>
      <c r="H29" s="72"/>
    </row>
    <row r="30" spans="1:8" ht="12.75">
      <c r="A30" s="70"/>
      <c r="B30" s="362" t="s">
        <v>10</v>
      </c>
      <c r="C30" s="363"/>
      <c r="D30" s="364" t="s">
        <v>378</v>
      </c>
      <c r="E30" s="365"/>
      <c r="F30" s="365"/>
      <c r="G30" s="366"/>
      <c r="H30" s="72"/>
    </row>
    <row r="31" spans="1:8" ht="12.75">
      <c r="A31" s="70"/>
      <c r="B31" s="73"/>
      <c r="C31" s="71" t="s">
        <v>11</v>
      </c>
      <c r="D31" s="74" t="s">
        <v>379</v>
      </c>
      <c r="E31" s="71" t="s">
        <v>12</v>
      </c>
      <c r="F31" s="74">
        <v>5000</v>
      </c>
      <c r="G31" s="75"/>
      <c r="H31" s="76"/>
    </row>
    <row r="32" spans="1:8" ht="12.75">
      <c r="A32" s="70"/>
      <c r="B32" s="73"/>
      <c r="C32" s="73"/>
      <c r="D32" s="73"/>
      <c r="E32" s="75"/>
      <c r="F32" s="73"/>
      <c r="G32" s="75"/>
      <c r="H32" s="77"/>
    </row>
    <row r="33" spans="1:8" ht="12.75">
      <c r="A33" s="70" t="s">
        <v>13</v>
      </c>
      <c r="B33" s="362" t="s">
        <v>9</v>
      </c>
      <c r="C33" s="363"/>
      <c r="D33" s="375" t="s">
        <v>377</v>
      </c>
      <c r="E33" s="373"/>
      <c r="F33" s="373"/>
      <c r="G33" s="374"/>
      <c r="H33" s="78"/>
    </row>
    <row r="34" spans="1:8" ht="12.75">
      <c r="A34" s="70"/>
      <c r="B34" s="362" t="s">
        <v>10</v>
      </c>
      <c r="C34" s="363"/>
      <c r="D34" s="375" t="s">
        <v>378</v>
      </c>
      <c r="E34" s="373"/>
      <c r="F34" s="373"/>
      <c r="G34" s="374"/>
      <c r="H34" s="78"/>
    </row>
    <row r="35" spans="1:8" ht="12.75">
      <c r="A35" s="79"/>
      <c r="B35" s="73"/>
      <c r="C35" s="71" t="s">
        <v>11</v>
      </c>
      <c r="D35" s="245" t="s">
        <v>379</v>
      </c>
      <c r="E35" s="246" t="s">
        <v>12</v>
      </c>
      <c r="F35" s="245">
        <v>5000</v>
      </c>
      <c r="G35" s="247"/>
      <c r="H35" s="76"/>
    </row>
    <row r="36" spans="1:8" ht="13.5" thickBot="1">
      <c r="A36" s="80"/>
      <c r="B36" s="81"/>
      <c r="C36" s="81"/>
      <c r="D36" s="81"/>
      <c r="E36" s="82"/>
      <c r="F36" s="82"/>
      <c r="G36" s="82"/>
      <c r="H36" s="83"/>
    </row>
    <row r="37" spans="1:8" ht="12.75">
      <c r="A37" s="66"/>
      <c r="B37" s="67"/>
      <c r="C37" s="67"/>
      <c r="D37" s="67"/>
      <c r="E37" s="68"/>
      <c r="F37" s="68"/>
      <c r="G37" s="68"/>
      <c r="H37" s="69"/>
    </row>
    <row r="38" spans="1:8" ht="12.75">
      <c r="A38" s="70" t="s">
        <v>14</v>
      </c>
      <c r="B38" s="375" t="s">
        <v>380</v>
      </c>
      <c r="C38" s="373"/>
      <c r="D38" s="376"/>
      <c r="E38" s="376"/>
      <c r="F38" s="377"/>
      <c r="G38" s="75"/>
      <c r="H38" s="77"/>
    </row>
    <row r="39" spans="1:8" ht="12.75">
      <c r="A39" s="70" t="s">
        <v>15</v>
      </c>
      <c r="B39" s="375" t="s">
        <v>381</v>
      </c>
      <c r="C39" s="373"/>
      <c r="D39" s="373"/>
      <c r="E39" s="373"/>
      <c r="F39" s="374"/>
      <c r="G39" s="75"/>
      <c r="H39" s="77"/>
    </row>
    <row r="40" spans="1:8" ht="12.75">
      <c r="A40" s="70" t="s">
        <v>16</v>
      </c>
      <c r="B40" s="372" t="s">
        <v>382</v>
      </c>
      <c r="C40" s="373"/>
      <c r="D40" s="373"/>
      <c r="E40" s="373"/>
      <c r="F40" s="374"/>
      <c r="G40" s="75"/>
      <c r="H40" s="77"/>
    </row>
    <row r="41" spans="1:8" ht="13.5" thickBot="1">
      <c r="A41" s="80"/>
      <c r="B41" s="81"/>
      <c r="C41" s="81"/>
      <c r="D41" s="81"/>
      <c r="E41" s="82"/>
      <c r="F41" s="82"/>
      <c r="G41" s="82"/>
      <c r="H41" s="83"/>
    </row>
  </sheetData>
  <sheetProtection/>
  <mergeCells count="22">
    <mergeCell ref="B30:C30"/>
    <mergeCell ref="A10:I10"/>
    <mergeCell ref="D30:G30"/>
    <mergeCell ref="C18:E18"/>
    <mergeCell ref="C19:E19"/>
    <mergeCell ref="C15:E15"/>
    <mergeCell ref="C23:E23"/>
    <mergeCell ref="B40:F40"/>
    <mergeCell ref="B34:C34"/>
    <mergeCell ref="D34:G34"/>
    <mergeCell ref="B38:F38"/>
    <mergeCell ref="B39:F39"/>
    <mergeCell ref="D33:G33"/>
    <mergeCell ref="B33:C33"/>
    <mergeCell ref="A6:I6"/>
    <mergeCell ref="A9:I9"/>
    <mergeCell ref="A8:I8"/>
    <mergeCell ref="B29:C29"/>
    <mergeCell ref="D29:G29"/>
    <mergeCell ref="C17:E17"/>
    <mergeCell ref="C21:E21"/>
    <mergeCell ref="C25:E25"/>
  </mergeCells>
  <hyperlinks>
    <hyperlink ref="B40" r:id="rId1" display="peter.bucki@agig.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R283"/>
  <sheetViews>
    <sheetView zoomScale="90" zoomScaleNormal="90" workbookViewId="0" topLeftCell="A1">
      <pane xSplit="3" ySplit="11" topLeftCell="J12" activePane="bottomRight" state="frozen"/>
      <selection pane="topLeft" activeCell="A1" sqref="A1"/>
      <selection pane="topRight" activeCell="D1" sqref="D1"/>
      <selection pane="bottomLeft" activeCell="A12" sqref="A12"/>
      <selection pane="bottomRight" activeCell="P35" sqref="P35"/>
    </sheetView>
  </sheetViews>
  <sheetFormatPr defaultColWidth="9.140625" defaultRowHeight="12.75"/>
  <cols>
    <col min="1" max="1" width="10.57421875" style="275" customWidth="1"/>
    <col min="2" max="2" width="21.7109375" style="275" customWidth="1"/>
    <col min="3" max="3" width="61.00390625" style="275" bestFit="1" customWidth="1"/>
    <col min="4" max="4" width="22.28125" style="275" customWidth="1"/>
    <col min="5" max="16" width="20.7109375" style="275" customWidth="1"/>
    <col min="17" max="17" width="16.140625" style="275" bestFit="1" customWidth="1"/>
    <col min="18" max="18" width="13.00390625" style="275" customWidth="1"/>
    <col min="19" max="16384" width="9.140625" style="275" customWidth="1"/>
  </cols>
  <sheetData>
    <row r="1" spans="2:3" ht="20.25">
      <c r="B1" s="401" t="s">
        <v>200</v>
      </c>
      <c r="C1" s="401"/>
    </row>
    <row r="2" spans="3:6" ht="15">
      <c r="C2" s="277" t="s">
        <v>374</v>
      </c>
      <c r="D2" s="278"/>
      <c r="E2" s="278"/>
      <c r="F2" s="278"/>
    </row>
    <row r="3" spans="3:6" ht="15">
      <c r="C3" s="279" t="s">
        <v>184</v>
      </c>
      <c r="D3" s="280">
        <f>+Yearending</f>
        <v>44926</v>
      </c>
      <c r="E3" s="280"/>
      <c r="F3" s="280"/>
    </row>
    <row r="4" spans="1:6" ht="15">
      <c r="A4" s="328"/>
      <c r="C4" s="279" t="s">
        <v>250</v>
      </c>
      <c r="D4" s="280">
        <f>Cover!C25</f>
        <v>40725</v>
      </c>
      <c r="E4" s="280"/>
      <c r="F4" s="280"/>
    </row>
    <row r="5" spans="1:12" ht="15">
      <c r="A5" s="328"/>
      <c r="C5" s="279" t="s">
        <v>251</v>
      </c>
      <c r="D5" s="281">
        <v>318874125.3898632</v>
      </c>
      <c r="E5" s="280"/>
      <c r="F5" s="280"/>
      <c r="G5" s="282"/>
      <c r="H5" s="282"/>
      <c r="I5" s="282"/>
      <c r="J5" s="282"/>
      <c r="K5" s="282"/>
      <c r="L5" s="282"/>
    </row>
    <row r="6" spans="1:12" ht="12.75">
      <c r="A6" s="328"/>
      <c r="D6" s="282"/>
      <c r="E6" s="282"/>
      <c r="F6" s="282"/>
      <c r="G6" s="282"/>
      <c r="H6" s="282"/>
      <c r="I6" s="282"/>
      <c r="J6" s="282"/>
      <c r="K6" s="282"/>
      <c r="L6" s="282"/>
    </row>
    <row r="7" spans="1:12" ht="15.75">
      <c r="A7" s="328"/>
      <c r="B7" s="389" t="s">
        <v>201</v>
      </c>
      <c r="C7" s="389"/>
      <c r="D7" s="283"/>
      <c r="E7" s="283"/>
      <c r="F7" s="283"/>
      <c r="G7" s="283"/>
      <c r="H7" s="283"/>
      <c r="I7" s="283"/>
      <c r="J7" s="283"/>
      <c r="K7" s="283"/>
      <c r="L7" s="283"/>
    </row>
    <row r="8" spans="1:16" ht="12.75">
      <c r="A8" s="328"/>
      <c r="D8" s="386" t="s">
        <v>83</v>
      </c>
      <c r="E8" s="387"/>
      <c r="F8" s="387"/>
      <c r="G8" s="387"/>
      <c r="H8" s="387"/>
      <c r="I8" s="387"/>
      <c r="J8" s="387"/>
      <c r="K8" s="387"/>
      <c r="L8" s="387"/>
      <c r="M8" s="387"/>
      <c r="N8" s="387"/>
      <c r="O8" s="387"/>
      <c r="P8" s="387"/>
    </row>
    <row r="9" spans="1:16" ht="38.25">
      <c r="A9" s="328"/>
      <c r="B9" s="127" t="s">
        <v>223</v>
      </c>
      <c r="C9" s="129" t="s">
        <v>19</v>
      </c>
      <c r="D9" s="240" t="s">
        <v>483</v>
      </c>
      <c r="E9" s="241" t="s">
        <v>484</v>
      </c>
      <c r="F9" s="241" t="s">
        <v>485</v>
      </c>
      <c r="G9" s="241" t="s">
        <v>486</v>
      </c>
      <c r="H9" s="241" t="s">
        <v>487</v>
      </c>
      <c r="I9" s="241" t="s">
        <v>488</v>
      </c>
      <c r="J9" s="241" t="s">
        <v>489</v>
      </c>
      <c r="K9" s="241" t="s">
        <v>490</v>
      </c>
      <c r="L9" s="241" t="s">
        <v>491</v>
      </c>
      <c r="M9" s="241" t="s">
        <v>492</v>
      </c>
      <c r="N9" s="241" t="s">
        <v>493</v>
      </c>
      <c r="O9" s="241" t="s">
        <v>494</v>
      </c>
      <c r="P9" s="241" t="s">
        <v>497</v>
      </c>
    </row>
    <row r="10" spans="1:16" ht="12.75">
      <c r="A10" s="328"/>
      <c r="B10" s="127"/>
      <c r="C10" s="129"/>
      <c r="D10" s="194"/>
      <c r="E10" s="194"/>
      <c r="F10" s="194"/>
      <c r="G10" s="194"/>
      <c r="H10" s="194"/>
      <c r="I10" s="194"/>
      <c r="J10" s="194"/>
      <c r="K10" s="194"/>
      <c r="L10" s="194"/>
      <c r="M10" s="274"/>
      <c r="N10" s="274"/>
      <c r="O10" s="274"/>
      <c r="P10" s="274"/>
    </row>
    <row r="11" spans="1:16" ht="12.75">
      <c r="A11" s="332"/>
      <c r="B11" s="128"/>
      <c r="C11" s="130" t="s">
        <v>144</v>
      </c>
      <c r="D11" s="134" t="s">
        <v>208</v>
      </c>
      <c r="E11" s="134" t="s">
        <v>208</v>
      </c>
      <c r="F11" s="134" t="s">
        <v>208</v>
      </c>
      <c r="G11" s="134" t="s">
        <v>208</v>
      </c>
      <c r="H11" s="134" t="s">
        <v>208</v>
      </c>
      <c r="I11" s="134" t="s">
        <v>208</v>
      </c>
      <c r="J11" s="134" t="s">
        <v>208</v>
      </c>
      <c r="K11" s="134" t="s">
        <v>208</v>
      </c>
      <c r="L11" s="134" t="s">
        <v>208</v>
      </c>
      <c r="M11" s="134" t="s">
        <v>208</v>
      </c>
      <c r="N11" s="134" t="s">
        <v>208</v>
      </c>
      <c r="O11" s="134" t="s">
        <v>208</v>
      </c>
      <c r="P11" s="134" t="s">
        <v>208</v>
      </c>
    </row>
    <row r="12" spans="1:18" ht="12.75">
      <c r="A12" s="328"/>
      <c r="B12" s="268" t="s">
        <v>446</v>
      </c>
      <c r="C12" s="131" t="s">
        <v>247</v>
      </c>
      <c r="D12" s="285">
        <v>278745636.91101587</v>
      </c>
      <c r="E12" s="286">
        <f aca="true" t="shared" si="0" ref="E12:P12">D17</f>
        <v>278745636.91101587</v>
      </c>
      <c r="F12" s="286">
        <f t="shared" si="0"/>
        <v>292403231.21076554</v>
      </c>
      <c r="G12" s="286">
        <f t="shared" si="0"/>
        <v>315033105.3105893</v>
      </c>
      <c r="H12" s="286">
        <f t="shared" si="0"/>
        <v>341629026.689938</v>
      </c>
      <c r="I12" s="286">
        <f t="shared" si="0"/>
        <v>364202368.9947362</v>
      </c>
      <c r="J12" s="286">
        <f t="shared" si="0"/>
        <v>382240190.47593623</v>
      </c>
      <c r="K12" s="286">
        <f t="shared" si="0"/>
        <v>394004252.68735355</v>
      </c>
      <c r="L12" s="286">
        <f t="shared" si="0"/>
        <v>408648744.4234508</v>
      </c>
      <c r="M12" s="286">
        <f t="shared" si="0"/>
        <v>422488149.83676505</v>
      </c>
      <c r="N12" s="286">
        <f t="shared" si="0"/>
        <v>433971421.2916868</v>
      </c>
      <c r="O12" s="286">
        <f t="shared" si="0"/>
        <v>439623292.9696907</v>
      </c>
      <c r="P12" s="286">
        <f t="shared" si="0"/>
        <v>462432953.48522675</v>
      </c>
      <c r="Q12" s="337"/>
      <c r="R12" s="326"/>
    </row>
    <row r="13" spans="1:18" ht="12.75">
      <c r="A13" s="328"/>
      <c r="B13" s="268" t="s">
        <v>446</v>
      </c>
      <c r="C13" s="131" t="s">
        <v>248</v>
      </c>
      <c r="D13" s="285"/>
      <c r="E13" s="285">
        <v>15057065.629514795</v>
      </c>
      <c r="F13" s="285">
        <v>21476065.451207273</v>
      </c>
      <c r="G13" s="285">
        <v>24051161.126371056</v>
      </c>
      <c r="H13" s="285">
        <v>25328738.577674784</v>
      </c>
      <c r="I13" s="285">
        <v>21081422.38088241</v>
      </c>
      <c r="J13" s="285">
        <v>15803411.322699461</v>
      </c>
      <c r="K13" s="285">
        <v>17347676.89381609</v>
      </c>
      <c r="L13" s="285">
        <v>17410878.220891114</v>
      </c>
      <c r="M13" s="285">
        <v>15206511.78895056</v>
      </c>
      <c r="N13" s="285">
        <v>14017612.764334893</v>
      </c>
      <c r="O13" s="285">
        <v>19985738.68052587</v>
      </c>
      <c r="P13" s="285">
        <v>6732510.710732925</v>
      </c>
      <c r="Q13" s="337"/>
      <c r="R13" s="326"/>
    </row>
    <row r="14" spans="1:18" ht="12.75">
      <c r="A14" s="328"/>
      <c r="B14" s="173"/>
      <c r="C14" s="132" t="s">
        <v>143</v>
      </c>
      <c r="D14" s="286">
        <v>278745636.91101587</v>
      </c>
      <c r="E14" s="286">
        <f aca="true" t="shared" si="1" ref="E14:O14">E12+E13</f>
        <v>293802702.5405307</v>
      </c>
      <c r="F14" s="286">
        <f t="shared" si="1"/>
        <v>313879296.6619728</v>
      </c>
      <c r="G14" s="286">
        <f t="shared" si="1"/>
        <v>339084266.43696034</v>
      </c>
      <c r="H14" s="286">
        <f t="shared" si="1"/>
        <v>366957765.2676128</v>
      </c>
      <c r="I14" s="286">
        <f t="shared" si="1"/>
        <v>385283791.3756186</v>
      </c>
      <c r="J14" s="286">
        <f t="shared" si="1"/>
        <v>398043601.7986357</v>
      </c>
      <c r="K14" s="286">
        <f t="shared" si="1"/>
        <v>411351929.58116966</v>
      </c>
      <c r="L14" s="286">
        <f t="shared" si="1"/>
        <v>426059622.64434195</v>
      </c>
      <c r="M14" s="286">
        <f t="shared" si="1"/>
        <v>437694661.6257156</v>
      </c>
      <c r="N14" s="286">
        <f t="shared" si="1"/>
        <v>447989034.0560217</v>
      </c>
      <c r="O14" s="286">
        <f t="shared" si="1"/>
        <v>459609031.6502166</v>
      </c>
      <c r="P14" s="286">
        <f>P12+P13</f>
        <v>469165464.1959597</v>
      </c>
      <c r="Q14" s="337"/>
      <c r="R14" s="326"/>
    </row>
    <row r="15" spans="1:18" ht="12.75">
      <c r="A15" s="328"/>
      <c r="B15" s="268" t="s">
        <v>446</v>
      </c>
      <c r="C15" s="131" t="s">
        <v>267</v>
      </c>
      <c r="D15" s="285"/>
      <c r="E15" s="285"/>
      <c r="F15" s="285"/>
      <c r="G15" s="285"/>
      <c r="H15" s="285"/>
      <c r="I15" s="285"/>
      <c r="J15" s="285"/>
      <c r="K15" s="285"/>
      <c r="L15" s="285"/>
      <c r="M15" s="285"/>
      <c r="N15" s="285"/>
      <c r="O15" s="285"/>
      <c r="P15" s="285"/>
      <c r="Q15" s="337"/>
      <c r="R15" s="326"/>
    </row>
    <row r="16" spans="1:18" ht="12.75">
      <c r="A16" s="328"/>
      <c r="B16" s="268" t="s">
        <v>446</v>
      </c>
      <c r="C16" s="131" t="s">
        <v>249</v>
      </c>
      <c r="D16" s="285"/>
      <c r="E16" s="285">
        <v>-1399471.329765115</v>
      </c>
      <c r="F16" s="285">
        <v>1153808.648616465</v>
      </c>
      <c r="G16" s="285">
        <v>2544760.252977667</v>
      </c>
      <c r="H16" s="285">
        <v>-2755396.272876642</v>
      </c>
      <c r="I16" s="285">
        <v>-3043600.899682314</v>
      </c>
      <c r="J16" s="285">
        <v>-4039349.111282159</v>
      </c>
      <c r="K16" s="285">
        <v>-2703185.157718843</v>
      </c>
      <c r="L16" s="285">
        <v>-3571472.807576902</v>
      </c>
      <c r="M16" s="285">
        <v>-3723240.3340288214</v>
      </c>
      <c r="N16" s="285">
        <v>-8365741.086330981</v>
      </c>
      <c r="O16" s="285">
        <v>2823921.8350101723</v>
      </c>
      <c r="P16" s="285">
        <v>11352593.620637745</v>
      </c>
      <c r="Q16" s="337"/>
      <c r="R16" s="326"/>
    </row>
    <row r="17" spans="1:18" ht="12.75">
      <c r="A17" s="328"/>
      <c r="B17" s="173"/>
      <c r="C17" s="132" t="s">
        <v>71</v>
      </c>
      <c r="D17" s="286">
        <v>278745636.91101587</v>
      </c>
      <c r="E17" s="286">
        <f aca="true" t="shared" si="2" ref="E17:O17">SUM(E14:E16)</f>
        <v>292403231.21076554</v>
      </c>
      <c r="F17" s="286">
        <f t="shared" si="2"/>
        <v>315033105.3105893</v>
      </c>
      <c r="G17" s="286">
        <f t="shared" si="2"/>
        <v>341629026.689938</v>
      </c>
      <c r="H17" s="286">
        <f t="shared" si="2"/>
        <v>364202368.9947362</v>
      </c>
      <c r="I17" s="286">
        <f t="shared" si="2"/>
        <v>382240190.47593623</v>
      </c>
      <c r="J17" s="286">
        <f t="shared" si="2"/>
        <v>394004252.68735355</v>
      </c>
      <c r="K17" s="286">
        <f t="shared" si="2"/>
        <v>408648744.4234508</v>
      </c>
      <c r="L17" s="286">
        <f t="shared" si="2"/>
        <v>422488149.83676505</v>
      </c>
      <c r="M17" s="286">
        <f t="shared" si="2"/>
        <v>433971421.2916868</v>
      </c>
      <c r="N17" s="286">
        <f t="shared" si="2"/>
        <v>439623292.9696907</v>
      </c>
      <c r="O17" s="286">
        <f t="shared" si="2"/>
        <v>462432953.48522675</v>
      </c>
      <c r="P17" s="286">
        <f>SUM(P14:P16)</f>
        <v>480518057.81659746</v>
      </c>
      <c r="Q17" s="337"/>
      <c r="R17" s="326"/>
    </row>
    <row r="18" spans="1:18" ht="12.75">
      <c r="A18" s="332"/>
      <c r="B18" s="174"/>
      <c r="C18" s="288" t="s">
        <v>85</v>
      </c>
      <c r="D18" s="289"/>
      <c r="E18" s="289"/>
      <c r="F18" s="289"/>
      <c r="G18" s="289"/>
      <c r="H18" s="289"/>
      <c r="I18" s="289"/>
      <c r="J18" s="289"/>
      <c r="K18" s="289"/>
      <c r="L18" s="289"/>
      <c r="M18" s="289"/>
      <c r="N18" s="289"/>
      <c r="O18" s="289"/>
      <c r="P18" s="289"/>
      <c r="Q18" s="337"/>
      <c r="R18" s="326"/>
    </row>
    <row r="19" spans="1:18" ht="12.75">
      <c r="A19" s="328"/>
      <c r="B19" s="268" t="s">
        <v>446</v>
      </c>
      <c r="C19" s="131" t="s">
        <v>247</v>
      </c>
      <c r="D19" s="285"/>
      <c r="E19" s="286">
        <f aca="true" t="shared" si="3" ref="E19:L19">D23</f>
        <v>0</v>
      </c>
      <c r="F19" s="286">
        <f t="shared" si="3"/>
        <v>0</v>
      </c>
      <c r="G19" s="286">
        <f t="shared" si="3"/>
        <v>0</v>
      </c>
      <c r="H19" s="286">
        <f t="shared" si="3"/>
        <v>0</v>
      </c>
      <c r="I19" s="286">
        <f t="shared" si="3"/>
        <v>0</v>
      </c>
      <c r="J19" s="286">
        <f t="shared" si="3"/>
        <v>0</v>
      </c>
      <c r="K19" s="286">
        <f t="shared" si="3"/>
        <v>0</v>
      </c>
      <c r="L19" s="286">
        <f t="shared" si="3"/>
        <v>0</v>
      </c>
      <c r="M19" s="286">
        <f>G23</f>
        <v>0</v>
      </c>
      <c r="N19" s="286">
        <f>H23</f>
        <v>0</v>
      </c>
      <c r="O19" s="286">
        <f>I23</f>
        <v>0</v>
      </c>
      <c r="P19" s="286">
        <f>J23</f>
        <v>0</v>
      </c>
      <c r="Q19" s="337"/>
      <c r="R19" s="326"/>
    </row>
    <row r="20" spans="1:18" ht="12.75">
      <c r="A20" s="328"/>
      <c r="B20" s="268" t="s">
        <v>446</v>
      </c>
      <c r="C20" s="131" t="s">
        <v>221</v>
      </c>
      <c r="D20" s="285"/>
      <c r="E20" s="285"/>
      <c r="F20" s="285"/>
      <c r="G20" s="285"/>
      <c r="H20" s="285"/>
      <c r="I20" s="285"/>
      <c r="J20" s="285"/>
      <c r="K20" s="285"/>
      <c r="L20" s="285"/>
      <c r="M20" s="285"/>
      <c r="N20" s="285"/>
      <c r="O20" s="285"/>
      <c r="P20" s="285"/>
      <c r="Q20" s="337"/>
      <c r="R20" s="326"/>
    </row>
    <row r="21" spans="1:18" ht="12.75">
      <c r="A21" s="328"/>
      <c r="B21" s="268" t="s">
        <v>446</v>
      </c>
      <c r="C21" s="131" t="s">
        <v>268</v>
      </c>
      <c r="D21" s="285"/>
      <c r="E21" s="285"/>
      <c r="F21" s="285"/>
      <c r="G21" s="285"/>
      <c r="H21" s="285"/>
      <c r="I21" s="285"/>
      <c r="J21" s="285"/>
      <c r="K21" s="285"/>
      <c r="L21" s="285"/>
      <c r="M21" s="285"/>
      <c r="N21" s="285"/>
      <c r="O21" s="285"/>
      <c r="P21" s="285"/>
      <c r="Q21" s="337"/>
      <c r="R21" s="326"/>
    </row>
    <row r="22" spans="1:18" ht="11.25" customHeight="1">
      <c r="A22" s="328"/>
      <c r="B22" s="268" t="s">
        <v>446</v>
      </c>
      <c r="C22" s="131" t="s">
        <v>269</v>
      </c>
      <c r="D22" s="285"/>
      <c r="E22" s="285"/>
      <c r="F22" s="285"/>
      <c r="G22" s="285"/>
      <c r="H22" s="285"/>
      <c r="I22" s="285"/>
      <c r="J22" s="285"/>
      <c r="K22" s="285"/>
      <c r="L22" s="285"/>
      <c r="M22" s="285"/>
      <c r="N22" s="285"/>
      <c r="O22" s="285"/>
      <c r="P22" s="285"/>
      <c r="Q22" s="337"/>
      <c r="R22" s="326"/>
    </row>
    <row r="23" spans="1:18" ht="12.75">
      <c r="A23" s="328"/>
      <c r="B23" s="173"/>
      <c r="C23" s="132" t="s">
        <v>86</v>
      </c>
      <c r="D23" s="286">
        <v>0</v>
      </c>
      <c r="E23" s="286">
        <f aca="true" t="shared" si="4" ref="E23:O23">SUM(E19:E22)</f>
        <v>0</v>
      </c>
      <c r="F23" s="286">
        <f t="shared" si="4"/>
        <v>0</v>
      </c>
      <c r="G23" s="286">
        <f t="shared" si="4"/>
        <v>0</v>
      </c>
      <c r="H23" s="286">
        <f t="shared" si="4"/>
        <v>0</v>
      </c>
      <c r="I23" s="286">
        <f t="shared" si="4"/>
        <v>0</v>
      </c>
      <c r="J23" s="286">
        <f t="shared" si="4"/>
        <v>0</v>
      </c>
      <c r="K23" s="286">
        <f t="shared" si="4"/>
        <v>0</v>
      </c>
      <c r="L23" s="286">
        <f t="shared" si="4"/>
        <v>0</v>
      </c>
      <c r="M23" s="286">
        <f t="shared" si="4"/>
        <v>0</v>
      </c>
      <c r="N23" s="286">
        <f t="shared" si="4"/>
        <v>0</v>
      </c>
      <c r="O23" s="286">
        <f t="shared" si="4"/>
        <v>0</v>
      </c>
      <c r="P23" s="286">
        <f>SUM(P19:P22)</f>
        <v>0</v>
      </c>
      <c r="Q23" s="337"/>
      <c r="R23" s="326"/>
    </row>
    <row r="24" spans="1:18" ht="12.75">
      <c r="A24" s="332"/>
      <c r="B24" s="174"/>
      <c r="C24" s="288" t="s">
        <v>145</v>
      </c>
      <c r="D24" s="289"/>
      <c r="E24" s="289"/>
      <c r="F24" s="289"/>
      <c r="G24" s="289"/>
      <c r="H24" s="289"/>
      <c r="I24" s="289"/>
      <c r="J24" s="289"/>
      <c r="K24" s="289"/>
      <c r="L24" s="289"/>
      <c r="M24" s="289"/>
      <c r="N24" s="289"/>
      <c r="O24" s="289"/>
      <c r="P24" s="289"/>
      <c r="Q24" s="337"/>
      <c r="R24" s="326"/>
    </row>
    <row r="25" spans="1:18" ht="12.75">
      <c r="A25" s="328"/>
      <c r="B25" s="268" t="s">
        <v>446</v>
      </c>
      <c r="C25" s="131" t="s">
        <v>247</v>
      </c>
      <c r="D25" s="285">
        <v>3558203.7108883425</v>
      </c>
      <c r="E25" s="286">
        <f aca="true" t="shared" si="5" ref="E25:L25">D29</f>
        <v>3558203.7108883425</v>
      </c>
      <c r="F25" s="286">
        <f t="shared" si="5"/>
        <v>4460802.156146015</v>
      </c>
      <c r="G25" s="286">
        <f t="shared" si="5"/>
        <v>5709142.940618451</v>
      </c>
      <c r="H25" s="286">
        <f t="shared" si="5"/>
        <v>7358158.33519126</v>
      </c>
      <c r="I25" s="286">
        <f t="shared" si="5"/>
        <v>8467956.164180627</v>
      </c>
      <c r="J25" s="286">
        <f t="shared" si="5"/>
        <v>9381182.690697933</v>
      </c>
      <c r="K25" s="286">
        <f t="shared" si="5"/>
        <v>10244715.241304733</v>
      </c>
      <c r="L25" s="286">
        <f t="shared" si="5"/>
        <v>10540242.571380949</v>
      </c>
      <c r="M25" s="286">
        <f>+L29</f>
        <v>11095765.19534692</v>
      </c>
      <c r="N25" s="286">
        <f>+M29</f>
        <v>12679294.19242638</v>
      </c>
      <c r="O25" s="286">
        <f>+N29</f>
        <v>13221510.083307754</v>
      </c>
      <c r="P25" s="286">
        <f>+O29</f>
        <v>14107292.84189752</v>
      </c>
      <c r="Q25" s="337"/>
      <c r="R25" s="326"/>
    </row>
    <row r="26" spans="1:18" ht="12.75">
      <c r="A26" s="328"/>
      <c r="B26" s="268" t="s">
        <v>446</v>
      </c>
      <c r="C26" s="131" t="s">
        <v>72</v>
      </c>
      <c r="D26" s="285"/>
      <c r="E26" s="285">
        <v>984644.231376507</v>
      </c>
      <c r="F26" s="285">
        <v>1302338.1531064764</v>
      </c>
      <c r="G26" s="285">
        <v>1684902.5028839426</v>
      </c>
      <c r="H26" s="285">
        <v>1264516.734754704</v>
      </c>
      <c r="I26" s="285">
        <v>1090064.8312970113</v>
      </c>
      <c r="J26" s="285">
        <v>1086245.2599684168</v>
      </c>
      <c r="K26" s="285">
        <v>494014.788588281</v>
      </c>
      <c r="L26" s="285">
        <v>781649.5681199428</v>
      </c>
      <c r="M26" s="285">
        <v>1820769.429354957</v>
      </c>
      <c r="N26" s="285">
        <v>929112.9184192037</v>
      </c>
      <c r="O26" s="285">
        <v>946887.1435788934</v>
      </c>
      <c r="P26" s="285">
        <v>923301.2062883166</v>
      </c>
      <c r="Q26" s="337"/>
      <c r="R26" s="326"/>
    </row>
    <row r="27" spans="1:18" ht="12.75">
      <c r="A27" s="328"/>
      <c r="B27" s="268" t="s">
        <v>446</v>
      </c>
      <c r="C27" s="131" t="s">
        <v>270</v>
      </c>
      <c r="D27" s="285"/>
      <c r="E27" s="285">
        <v>-82045.78611883409</v>
      </c>
      <c r="F27" s="285">
        <v>-53997.36863404064</v>
      </c>
      <c r="G27" s="285">
        <v>-35887.108311133095</v>
      </c>
      <c r="H27" s="285">
        <v>-154718.9057653384</v>
      </c>
      <c r="I27" s="285">
        <v>-176838.3047797062</v>
      </c>
      <c r="J27" s="285">
        <v>-222712.70936161708</v>
      </c>
      <c r="K27" s="285">
        <v>-198487.45851206672</v>
      </c>
      <c r="L27" s="285">
        <v>-226126.94415397194</v>
      </c>
      <c r="M27" s="285">
        <v>-237240.4322754963</v>
      </c>
      <c r="N27" s="285">
        <v>-386897.0275378293</v>
      </c>
      <c r="O27" s="285">
        <v>-61104.384989127626</v>
      </c>
      <c r="P27" s="285">
        <v>269203.98391155846</v>
      </c>
      <c r="Q27" s="337"/>
      <c r="R27" s="326"/>
    </row>
    <row r="28" spans="1:18" ht="11.25" customHeight="1">
      <c r="A28" s="328"/>
      <c r="B28" s="268" t="s">
        <v>446</v>
      </c>
      <c r="C28" s="131" t="s">
        <v>269</v>
      </c>
      <c r="D28" s="285"/>
      <c r="E28" s="285"/>
      <c r="F28" s="285"/>
      <c r="G28" s="285"/>
      <c r="H28" s="285"/>
      <c r="I28" s="285"/>
      <c r="J28" s="285"/>
      <c r="K28" s="285"/>
      <c r="L28" s="285"/>
      <c r="M28" s="285"/>
      <c r="N28" s="285"/>
      <c r="O28" s="285"/>
      <c r="P28" s="285"/>
      <c r="Q28" s="337"/>
      <c r="R28" s="326"/>
    </row>
    <row r="29" spans="1:18" ht="12.75">
      <c r="A29" s="328"/>
      <c r="B29" s="173"/>
      <c r="C29" s="132" t="s">
        <v>146</v>
      </c>
      <c r="D29" s="286">
        <v>3558203.7108883425</v>
      </c>
      <c r="E29" s="286">
        <f aca="true" t="shared" si="6" ref="E29:O29">SUM(E25:E28)</f>
        <v>4460802.156146015</v>
      </c>
      <c r="F29" s="286">
        <f t="shared" si="6"/>
        <v>5709142.940618451</v>
      </c>
      <c r="G29" s="286">
        <f t="shared" si="6"/>
        <v>7358158.33519126</v>
      </c>
      <c r="H29" s="286">
        <f t="shared" si="6"/>
        <v>8467956.164180627</v>
      </c>
      <c r="I29" s="286">
        <f t="shared" si="6"/>
        <v>9381182.690697933</v>
      </c>
      <c r="J29" s="286">
        <f t="shared" si="6"/>
        <v>10244715.241304733</v>
      </c>
      <c r="K29" s="286">
        <f t="shared" si="6"/>
        <v>10540242.571380949</v>
      </c>
      <c r="L29" s="286">
        <f t="shared" si="6"/>
        <v>11095765.19534692</v>
      </c>
      <c r="M29" s="286">
        <f t="shared" si="6"/>
        <v>12679294.19242638</v>
      </c>
      <c r="N29" s="286">
        <f t="shared" si="6"/>
        <v>13221510.083307754</v>
      </c>
      <c r="O29" s="286">
        <f t="shared" si="6"/>
        <v>14107292.84189752</v>
      </c>
      <c r="P29" s="286">
        <f>SUM(P25:P28)</f>
        <v>15299798.032097396</v>
      </c>
      <c r="Q29" s="337"/>
      <c r="R29" s="326"/>
    </row>
    <row r="30" spans="1:18" ht="12.75">
      <c r="A30" s="328"/>
      <c r="B30" s="174"/>
      <c r="C30" s="288" t="s">
        <v>147</v>
      </c>
      <c r="D30" s="289"/>
      <c r="E30" s="289"/>
      <c r="F30" s="289"/>
      <c r="G30" s="289"/>
      <c r="H30" s="289"/>
      <c r="I30" s="289"/>
      <c r="J30" s="289"/>
      <c r="K30" s="289"/>
      <c r="L30" s="289"/>
      <c r="M30" s="289"/>
      <c r="N30" s="289"/>
      <c r="O30" s="289"/>
      <c r="P30" s="289"/>
      <c r="Q30" s="337"/>
      <c r="R30" s="326"/>
    </row>
    <row r="31" spans="1:18" ht="12.75">
      <c r="A31" s="328"/>
      <c r="B31" s="268" t="s">
        <v>446</v>
      </c>
      <c r="C31" s="131" t="s">
        <v>247</v>
      </c>
      <c r="D31" s="285">
        <v>27522446.452323996</v>
      </c>
      <c r="E31" s="286">
        <f aca="true" t="shared" si="7" ref="E31:P31">D35</f>
        <v>27522446.452323996</v>
      </c>
      <c r="F31" s="286">
        <f t="shared" si="7"/>
        <v>27063908.31575501</v>
      </c>
      <c r="G31" s="286">
        <f t="shared" si="7"/>
        <v>26314432.1284444</v>
      </c>
      <c r="H31" s="286">
        <f t="shared" si="7"/>
        <v>26221467.855024263</v>
      </c>
      <c r="I31" s="286">
        <f t="shared" si="7"/>
        <v>25040219.349254154</v>
      </c>
      <c r="J31" s="286">
        <f t="shared" si="7"/>
        <v>24328597.28903349</v>
      </c>
      <c r="K31" s="286">
        <f t="shared" si="7"/>
        <v>24687938.70190566</v>
      </c>
      <c r="L31" s="286">
        <f t="shared" si="7"/>
        <v>24960877.44128332</v>
      </c>
      <c r="M31" s="286">
        <f t="shared" si="7"/>
        <v>25493719.500278663</v>
      </c>
      <c r="N31" s="286">
        <f t="shared" si="7"/>
        <v>24034605.6934226</v>
      </c>
      <c r="O31" s="286">
        <f t="shared" si="7"/>
        <v>22346605.418813936</v>
      </c>
      <c r="P31" s="286">
        <f t="shared" si="7"/>
        <v>20947427.082876205</v>
      </c>
      <c r="Q31" s="337"/>
      <c r="R31" s="326"/>
    </row>
    <row r="32" spans="1:18" ht="12.75">
      <c r="A32" s="328"/>
      <c r="B32" s="268" t="s">
        <v>446</v>
      </c>
      <c r="C32" s="131" t="s">
        <v>221</v>
      </c>
      <c r="D32" s="285"/>
      <c r="E32" s="285">
        <v>1779509.8745389</v>
      </c>
      <c r="F32" s="285">
        <v>1410308.3240255506</v>
      </c>
      <c r="G32" s="285">
        <v>2140535.49854507</v>
      </c>
      <c r="H32" s="285">
        <v>1709792.6749123775</v>
      </c>
      <c r="I32" s="285">
        <v>2357996.7186697437</v>
      </c>
      <c r="J32" s="285">
        <v>2978809.0772066973</v>
      </c>
      <c r="K32" s="285">
        <v>3025667.351677315</v>
      </c>
      <c r="L32" s="285">
        <v>3578665.4618785484</v>
      </c>
      <c r="M32" s="285">
        <v>1867953.0377112024</v>
      </c>
      <c r="N32" s="285">
        <v>2098270.8096819157</v>
      </c>
      <c r="O32" s="285">
        <v>1987467.769052193</v>
      </c>
      <c r="P32" s="285">
        <v>1001554.7002366787</v>
      </c>
      <c r="Q32" s="337"/>
      <c r="R32" s="326"/>
    </row>
    <row r="33" spans="1:18" ht="12.75">
      <c r="A33" s="328"/>
      <c r="B33" s="268" t="s">
        <v>446</v>
      </c>
      <c r="C33" s="131" t="s">
        <v>271</v>
      </c>
      <c r="D33" s="285"/>
      <c r="E33" s="285">
        <v>-2238048.0111078825</v>
      </c>
      <c r="F33" s="285">
        <v>-2159784.51133616</v>
      </c>
      <c r="G33" s="285">
        <v>-2233499.7719652066</v>
      </c>
      <c r="H33" s="285">
        <v>-2891041.1806824883</v>
      </c>
      <c r="I33" s="285">
        <v>-3069618.778890404</v>
      </c>
      <c r="J33" s="285">
        <v>-2619467.664334529</v>
      </c>
      <c r="K33" s="285">
        <v>-2752728.6122996556</v>
      </c>
      <c r="L33" s="285">
        <v>-3045823.402883206</v>
      </c>
      <c r="M33" s="285">
        <v>-3327066.844567265</v>
      </c>
      <c r="N33" s="285">
        <v>-3786271.0842905794</v>
      </c>
      <c r="O33" s="285">
        <v>-3386646.1049899245</v>
      </c>
      <c r="P33" s="285">
        <v>-1405393.252868111</v>
      </c>
      <c r="Q33" s="337"/>
      <c r="R33" s="326"/>
    </row>
    <row r="34" spans="1:18" ht="11.25" customHeight="1">
      <c r="A34" s="328"/>
      <c r="B34" s="268" t="s">
        <v>446</v>
      </c>
      <c r="C34" s="131" t="s">
        <v>269</v>
      </c>
      <c r="D34" s="285"/>
      <c r="E34" s="285"/>
      <c r="F34" s="285"/>
      <c r="G34" s="285"/>
      <c r="H34" s="285"/>
      <c r="I34" s="285"/>
      <c r="J34" s="285"/>
      <c r="K34" s="285"/>
      <c r="L34" s="285"/>
      <c r="M34" s="285"/>
      <c r="N34" s="285"/>
      <c r="O34" s="285"/>
      <c r="P34" s="285"/>
      <c r="Q34" s="337"/>
      <c r="R34" s="326"/>
    </row>
    <row r="35" spans="1:18" ht="12.75">
      <c r="A35" s="328"/>
      <c r="B35" s="173"/>
      <c r="C35" s="132" t="s">
        <v>148</v>
      </c>
      <c r="D35" s="286">
        <v>27522446.452323996</v>
      </c>
      <c r="E35" s="286">
        <f aca="true" t="shared" si="8" ref="E35:O35">SUM(E31:E34)</f>
        <v>27063908.31575501</v>
      </c>
      <c r="F35" s="286">
        <f t="shared" si="8"/>
        <v>26314432.1284444</v>
      </c>
      <c r="G35" s="286">
        <f t="shared" si="8"/>
        <v>26221467.855024263</v>
      </c>
      <c r="H35" s="286">
        <f t="shared" si="8"/>
        <v>25040219.349254154</v>
      </c>
      <c r="I35" s="286">
        <f t="shared" si="8"/>
        <v>24328597.28903349</v>
      </c>
      <c r="J35" s="286">
        <f t="shared" si="8"/>
        <v>24687938.70190566</v>
      </c>
      <c r="K35" s="286">
        <f t="shared" si="8"/>
        <v>24960877.44128332</v>
      </c>
      <c r="L35" s="286">
        <f t="shared" si="8"/>
        <v>25493719.500278663</v>
      </c>
      <c r="M35" s="286">
        <f t="shared" si="8"/>
        <v>24034605.6934226</v>
      </c>
      <c r="N35" s="286">
        <f t="shared" si="8"/>
        <v>22346605.418813936</v>
      </c>
      <c r="O35" s="286">
        <f t="shared" si="8"/>
        <v>20947427.082876205</v>
      </c>
      <c r="P35" s="286">
        <f>SUM(P31:P34)</f>
        <v>20543588.53024477</v>
      </c>
      <c r="Q35" s="337"/>
      <c r="R35" s="326"/>
    </row>
    <row r="36" spans="1:18" ht="12.75">
      <c r="A36" s="332"/>
      <c r="B36" s="174"/>
      <c r="C36" s="288" t="s">
        <v>87</v>
      </c>
      <c r="D36" s="289"/>
      <c r="E36" s="289"/>
      <c r="F36" s="289"/>
      <c r="G36" s="289"/>
      <c r="H36" s="289"/>
      <c r="I36" s="289"/>
      <c r="J36" s="289"/>
      <c r="K36" s="289"/>
      <c r="L36" s="289"/>
      <c r="M36" s="289"/>
      <c r="N36" s="289"/>
      <c r="O36" s="289"/>
      <c r="P36" s="289"/>
      <c r="Q36" s="337"/>
      <c r="R36" s="326"/>
    </row>
    <row r="37" spans="1:18" ht="12.75">
      <c r="A37" s="328"/>
      <c r="B37" s="268" t="s">
        <v>446</v>
      </c>
      <c r="C37" s="131" t="s">
        <v>247</v>
      </c>
      <c r="D37" s="285"/>
      <c r="E37" s="286">
        <f aca="true" t="shared" si="9" ref="E37:L37">D41</f>
        <v>0</v>
      </c>
      <c r="F37" s="286">
        <f t="shared" si="9"/>
        <v>0</v>
      </c>
      <c r="G37" s="286">
        <f t="shared" si="9"/>
        <v>0</v>
      </c>
      <c r="H37" s="286">
        <f t="shared" si="9"/>
        <v>0</v>
      </c>
      <c r="I37" s="286">
        <f t="shared" si="9"/>
        <v>0</v>
      </c>
      <c r="J37" s="286">
        <f t="shared" si="9"/>
        <v>0</v>
      </c>
      <c r="K37" s="286">
        <f t="shared" si="9"/>
        <v>0</v>
      </c>
      <c r="L37" s="286">
        <f t="shared" si="9"/>
        <v>0</v>
      </c>
      <c r="M37" s="286">
        <f>G41</f>
        <v>0</v>
      </c>
      <c r="N37" s="286">
        <f>H41</f>
        <v>0</v>
      </c>
      <c r="O37" s="286">
        <f>I41</f>
        <v>0</v>
      </c>
      <c r="P37" s="286">
        <f>J41</f>
        <v>0</v>
      </c>
      <c r="Q37" s="337"/>
      <c r="R37" s="326"/>
    </row>
    <row r="38" spans="1:18" ht="12.75">
      <c r="A38" s="328"/>
      <c r="B38" s="268" t="s">
        <v>446</v>
      </c>
      <c r="C38" s="131" t="s">
        <v>221</v>
      </c>
      <c r="D38" s="285"/>
      <c r="E38" s="285"/>
      <c r="F38" s="285"/>
      <c r="G38" s="285"/>
      <c r="H38" s="285"/>
      <c r="I38" s="285"/>
      <c r="J38" s="285"/>
      <c r="K38" s="285"/>
      <c r="L38" s="285"/>
      <c r="M38" s="285"/>
      <c r="N38" s="285"/>
      <c r="O38" s="285"/>
      <c r="P38" s="285"/>
      <c r="Q38" s="337"/>
      <c r="R38" s="326"/>
    </row>
    <row r="39" spans="1:18" ht="12.75">
      <c r="A39" s="328"/>
      <c r="B39" s="268" t="s">
        <v>446</v>
      </c>
      <c r="C39" s="131" t="s">
        <v>272</v>
      </c>
      <c r="D39" s="285"/>
      <c r="E39" s="285"/>
      <c r="F39" s="285"/>
      <c r="G39" s="285"/>
      <c r="H39" s="285"/>
      <c r="I39" s="285"/>
      <c r="J39" s="285"/>
      <c r="K39" s="285"/>
      <c r="L39" s="285"/>
      <c r="M39" s="285"/>
      <c r="N39" s="285"/>
      <c r="O39" s="285"/>
      <c r="P39" s="285"/>
      <c r="Q39" s="337"/>
      <c r="R39" s="326"/>
    </row>
    <row r="40" spans="1:18" ht="11.25" customHeight="1">
      <c r="A40" s="328"/>
      <c r="B40" s="268" t="s">
        <v>446</v>
      </c>
      <c r="C40" s="131" t="s">
        <v>269</v>
      </c>
      <c r="D40" s="285"/>
      <c r="E40" s="285"/>
      <c r="F40" s="285"/>
      <c r="G40" s="285"/>
      <c r="H40" s="285"/>
      <c r="I40" s="285"/>
      <c r="J40" s="285"/>
      <c r="K40" s="285"/>
      <c r="L40" s="285"/>
      <c r="M40" s="285"/>
      <c r="N40" s="285"/>
      <c r="O40" s="285"/>
      <c r="P40" s="285"/>
      <c r="Q40" s="337"/>
      <c r="R40" s="326"/>
    </row>
    <row r="41" spans="1:18" ht="12.75">
      <c r="A41" s="328"/>
      <c r="B41" s="173"/>
      <c r="C41" s="132" t="s">
        <v>88</v>
      </c>
      <c r="D41" s="286">
        <v>0</v>
      </c>
      <c r="E41" s="286">
        <f aca="true" t="shared" si="10" ref="E41:O41">SUM(E37:E40)</f>
        <v>0</v>
      </c>
      <c r="F41" s="286">
        <f t="shared" si="10"/>
        <v>0</v>
      </c>
      <c r="G41" s="286">
        <f t="shared" si="10"/>
        <v>0</v>
      </c>
      <c r="H41" s="286">
        <f t="shared" si="10"/>
        <v>0</v>
      </c>
      <c r="I41" s="286">
        <f t="shared" si="10"/>
        <v>0</v>
      </c>
      <c r="J41" s="286">
        <f t="shared" si="10"/>
        <v>0</v>
      </c>
      <c r="K41" s="286">
        <f t="shared" si="10"/>
        <v>0</v>
      </c>
      <c r="L41" s="286">
        <f t="shared" si="10"/>
        <v>0</v>
      </c>
      <c r="M41" s="286">
        <f t="shared" si="10"/>
        <v>0</v>
      </c>
      <c r="N41" s="286">
        <f t="shared" si="10"/>
        <v>0</v>
      </c>
      <c r="O41" s="286">
        <f t="shared" si="10"/>
        <v>0</v>
      </c>
      <c r="P41" s="286">
        <f>SUM(P37:P40)</f>
        <v>0</v>
      </c>
      <c r="Q41" s="337"/>
      <c r="R41" s="326"/>
    </row>
    <row r="42" spans="1:18" ht="12.75">
      <c r="A42" s="332"/>
      <c r="B42" s="174"/>
      <c r="C42" s="288" t="s">
        <v>149</v>
      </c>
      <c r="D42" s="289"/>
      <c r="E42" s="289"/>
      <c r="F42" s="289"/>
      <c r="G42" s="289"/>
      <c r="H42" s="289"/>
      <c r="I42" s="289"/>
      <c r="J42" s="289"/>
      <c r="K42" s="289"/>
      <c r="L42" s="289"/>
      <c r="M42" s="289"/>
      <c r="N42" s="289"/>
      <c r="O42" s="289"/>
      <c r="P42" s="289"/>
      <c r="Q42" s="337"/>
      <c r="R42" s="326"/>
    </row>
    <row r="43" spans="1:18" ht="12.75">
      <c r="A43" s="328"/>
      <c r="B43" s="268" t="s">
        <v>446</v>
      </c>
      <c r="C43" s="131" t="s">
        <v>247</v>
      </c>
      <c r="D43" s="285">
        <v>-1820249.30894577</v>
      </c>
      <c r="E43" s="286">
        <f aca="true" t="shared" si="11" ref="E43:P43">D47</f>
        <v>-1820249.30894577</v>
      </c>
      <c r="F43" s="286">
        <f t="shared" si="11"/>
        <v>-1714489.8381156113</v>
      </c>
      <c r="G43" s="286">
        <f t="shared" si="11"/>
        <v>-1562699.073830302</v>
      </c>
      <c r="H43" s="286">
        <f t="shared" si="11"/>
        <v>-1432170.194283825</v>
      </c>
      <c r="I43" s="286">
        <f t="shared" si="11"/>
        <v>-1179990.207960393</v>
      </c>
      <c r="J43" s="286">
        <f t="shared" si="11"/>
        <v>-580344.3379030887</v>
      </c>
      <c r="K43" s="286">
        <f t="shared" si="11"/>
        <v>-22758.342565681174</v>
      </c>
      <c r="L43" s="286">
        <f t="shared" si="11"/>
        <v>301081.2861351346</v>
      </c>
      <c r="M43" s="286">
        <f t="shared" si="11"/>
        <v>498819.76198016765</v>
      </c>
      <c r="N43" s="286">
        <f t="shared" si="11"/>
        <v>678887.3400281707</v>
      </c>
      <c r="O43" s="286">
        <f t="shared" si="11"/>
        <v>712556.7217778617</v>
      </c>
      <c r="P43" s="286">
        <f t="shared" si="11"/>
        <v>757016.7761933188</v>
      </c>
      <c r="Q43" s="337"/>
      <c r="R43" s="326"/>
    </row>
    <row r="44" spans="1:18" ht="12.75">
      <c r="A44" s="328"/>
      <c r="B44" s="268" t="s">
        <v>446</v>
      </c>
      <c r="C44" s="131" t="s">
        <v>221</v>
      </c>
      <c r="D44" s="285"/>
      <c r="E44" s="285">
        <v>28126.09808337522</v>
      </c>
      <c r="F44" s="285">
        <v>87960.095577798</v>
      </c>
      <c r="G44" s="285">
        <v>71412.25756028606</v>
      </c>
      <c r="H44" s="285">
        <v>166906.311437568</v>
      </c>
      <c r="I44" s="285">
        <v>517887.91565969016</v>
      </c>
      <c r="J44" s="285">
        <v>400448.23277472483</v>
      </c>
      <c r="K44" s="285">
        <v>176442.50936733885</v>
      </c>
      <c r="L44" s="285">
        <v>50703.53193409009</v>
      </c>
      <c r="M44" s="285">
        <v>108076.12166531454</v>
      </c>
      <c r="N44" s="285">
        <v>66744.62385843479</v>
      </c>
      <c r="O44" s="285">
        <v>62146.991028222816</v>
      </c>
      <c r="P44" s="285">
        <v>39782.6344641177</v>
      </c>
      <c r="Q44" s="337"/>
      <c r="R44" s="326"/>
    </row>
    <row r="45" spans="1:18" ht="11.25" customHeight="1">
      <c r="A45" s="328"/>
      <c r="B45" s="268" t="s">
        <v>446</v>
      </c>
      <c r="C45" s="131" t="s">
        <v>273</v>
      </c>
      <c r="D45" s="285"/>
      <c r="E45" s="285">
        <v>77633.37274678322</v>
      </c>
      <c r="F45" s="285">
        <v>63830.668707511155</v>
      </c>
      <c r="G45" s="285">
        <v>59116.621986190956</v>
      </c>
      <c r="H45" s="285">
        <v>85273.67488586411</v>
      </c>
      <c r="I45" s="285">
        <v>81757.95439761419</v>
      </c>
      <c r="J45" s="285">
        <v>157137.76256268265</v>
      </c>
      <c r="K45" s="285">
        <v>147397.1193334769</v>
      </c>
      <c r="L45" s="285">
        <v>147034.943910943</v>
      </c>
      <c r="M45" s="285">
        <v>71991.45638268866</v>
      </c>
      <c r="N45" s="285">
        <v>-33075.24210874391</v>
      </c>
      <c r="O45" s="285">
        <v>-17686.936612765727</v>
      </c>
      <c r="P45" s="285">
        <v>5983.558975173594</v>
      </c>
      <c r="Q45" s="337"/>
      <c r="R45" s="326"/>
    </row>
    <row r="46" spans="1:18" ht="11.25" customHeight="1">
      <c r="A46" s="328"/>
      <c r="B46" s="268" t="s">
        <v>446</v>
      </c>
      <c r="C46" s="131" t="s">
        <v>269</v>
      </c>
      <c r="D46" s="285"/>
      <c r="E46" s="285"/>
      <c r="F46" s="285"/>
      <c r="G46" s="285"/>
      <c r="H46" s="285"/>
      <c r="I46" s="285"/>
      <c r="J46" s="285"/>
      <c r="K46" s="285"/>
      <c r="L46" s="285"/>
      <c r="M46" s="285"/>
      <c r="N46" s="285"/>
      <c r="O46" s="285"/>
      <c r="P46" s="285"/>
      <c r="Q46" s="337"/>
      <c r="R46" s="326"/>
    </row>
    <row r="47" spans="1:18" ht="12.75">
      <c r="A47" s="328"/>
      <c r="B47" s="173"/>
      <c r="C47" s="132" t="s">
        <v>150</v>
      </c>
      <c r="D47" s="286">
        <v>-1820249.30894577</v>
      </c>
      <c r="E47" s="286">
        <f aca="true" t="shared" si="12" ref="E47:O47">SUM(E43:E46)</f>
        <v>-1714489.8381156113</v>
      </c>
      <c r="F47" s="286">
        <f t="shared" si="12"/>
        <v>-1562699.073830302</v>
      </c>
      <c r="G47" s="286">
        <f t="shared" si="12"/>
        <v>-1432170.194283825</v>
      </c>
      <c r="H47" s="286">
        <f t="shared" si="12"/>
        <v>-1179990.207960393</v>
      </c>
      <c r="I47" s="286">
        <f t="shared" si="12"/>
        <v>-580344.3379030887</v>
      </c>
      <c r="J47" s="286">
        <f t="shared" si="12"/>
        <v>-22758.342565681174</v>
      </c>
      <c r="K47" s="286">
        <f t="shared" si="12"/>
        <v>301081.2861351346</v>
      </c>
      <c r="L47" s="286">
        <f t="shared" si="12"/>
        <v>498819.76198016765</v>
      </c>
      <c r="M47" s="286">
        <f t="shared" si="12"/>
        <v>678887.3400281707</v>
      </c>
      <c r="N47" s="286">
        <f t="shared" si="12"/>
        <v>712556.7217778617</v>
      </c>
      <c r="O47" s="286">
        <f t="shared" si="12"/>
        <v>757016.7761933188</v>
      </c>
      <c r="P47" s="286">
        <f>SUM(P43:P46)</f>
        <v>802782.9696326101</v>
      </c>
      <c r="Q47" s="337"/>
      <c r="R47" s="326"/>
    </row>
    <row r="48" spans="1:18" ht="12.75">
      <c r="A48" s="332"/>
      <c r="B48" s="174"/>
      <c r="C48" s="288" t="s">
        <v>1</v>
      </c>
      <c r="D48" s="289"/>
      <c r="E48" s="289"/>
      <c r="F48" s="289"/>
      <c r="G48" s="289"/>
      <c r="H48" s="289"/>
      <c r="I48" s="289"/>
      <c r="J48" s="289"/>
      <c r="K48" s="289"/>
      <c r="L48" s="289"/>
      <c r="M48" s="289"/>
      <c r="N48" s="289"/>
      <c r="O48" s="289"/>
      <c r="P48" s="289"/>
      <c r="Q48" s="337"/>
      <c r="R48" s="326"/>
    </row>
    <row r="49" spans="1:18" ht="12.75">
      <c r="A49" s="328"/>
      <c r="B49" s="268" t="s">
        <v>446</v>
      </c>
      <c r="C49" s="131" t="s">
        <v>247</v>
      </c>
      <c r="D49" s="285"/>
      <c r="E49" s="286">
        <f aca="true" t="shared" si="13" ref="E49:L49">D53</f>
        <v>0</v>
      </c>
      <c r="F49" s="286">
        <f t="shared" si="13"/>
        <v>0</v>
      </c>
      <c r="G49" s="286">
        <f t="shared" si="13"/>
        <v>0</v>
      </c>
      <c r="H49" s="286">
        <f t="shared" si="13"/>
        <v>0</v>
      </c>
      <c r="I49" s="286">
        <f t="shared" si="13"/>
        <v>0</v>
      </c>
      <c r="J49" s="286">
        <f t="shared" si="13"/>
        <v>0</v>
      </c>
      <c r="K49" s="286">
        <f t="shared" si="13"/>
        <v>0</v>
      </c>
      <c r="L49" s="286">
        <f t="shared" si="13"/>
        <v>0</v>
      </c>
      <c r="M49" s="286">
        <f>G53</f>
        <v>0</v>
      </c>
      <c r="N49" s="286">
        <f>H53</f>
        <v>0</v>
      </c>
      <c r="O49" s="286">
        <f>I53</f>
        <v>0</v>
      </c>
      <c r="P49" s="286">
        <f>J53</f>
        <v>0</v>
      </c>
      <c r="Q49" s="337"/>
      <c r="R49" s="326"/>
    </row>
    <row r="50" spans="1:18" ht="12.75">
      <c r="A50" s="328"/>
      <c r="B50" s="268" t="s">
        <v>446</v>
      </c>
      <c r="C50" s="131" t="s">
        <v>221</v>
      </c>
      <c r="D50" s="285"/>
      <c r="E50" s="285"/>
      <c r="F50" s="285"/>
      <c r="G50" s="285"/>
      <c r="H50" s="285"/>
      <c r="I50" s="285"/>
      <c r="J50" s="285"/>
      <c r="K50" s="285"/>
      <c r="L50" s="285"/>
      <c r="M50" s="285"/>
      <c r="N50" s="285"/>
      <c r="O50" s="285"/>
      <c r="P50" s="285"/>
      <c r="Q50" s="337"/>
      <c r="R50" s="326"/>
    </row>
    <row r="51" spans="1:18" ht="12.75">
      <c r="A51" s="328"/>
      <c r="B51" s="268" t="s">
        <v>446</v>
      </c>
      <c r="C51" s="131" t="s">
        <v>274</v>
      </c>
      <c r="D51" s="285"/>
      <c r="E51" s="285"/>
      <c r="F51" s="285"/>
      <c r="G51" s="285"/>
      <c r="H51" s="285"/>
      <c r="I51" s="285"/>
      <c r="J51" s="285"/>
      <c r="K51" s="285"/>
      <c r="L51" s="285"/>
      <c r="M51" s="285"/>
      <c r="N51" s="285"/>
      <c r="O51" s="285"/>
      <c r="P51" s="285"/>
      <c r="Q51" s="337"/>
      <c r="R51" s="326"/>
    </row>
    <row r="52" spans="1:18" ht="11.25" customHeight="1">
      <c r="A52" s="328"/>
      <c r="B52" s="268" t="s">
        <v>446</v>
      </c>
      <c r="C52" s="131" t="s">
        <v>269</v>
      </c>
      <c r="D52" s="285"/>
      <c r="E52" s="285"/>
      <c r="F52" s="285"/>
      <c r="G52" s="285"/>
      <c r="H52" s="285"/>
      <c r="I52" s="285"/>
      <c r="J52" s="285"/>
      <c r="K52" s="285"/>
      <c r="L52" s="285"/>
      <c r="M52" s="285"/>
      <c r="N52" s="285"/>
      <c r="O52" s="285"/>
      <c r="P52" s="285"/>
      <c r="Q52" s="337"/>
      <c r="R52" s="326"/>
    </row>
    <row r="53" spans="1:18" ht="12.75">
      <c r="A53" s="328"/>
      <c r="B53" s="173"/>
      <c r="C53" s="132" t="s">
        <v>89</v>
      </c>
      <c r="D53" s="286">
        <v>0</v>
      </c>
      <c r="E53" s="286">
        <f aca="true" t="shared" si="14" ref="E53:O53">SUM(E49:E52)</f>
        <v>0</v>
      </c>
      <c r="F53" s="286">
        <f t="shared" si="14"/>
        <v>0</v>
      </c>
      <c r="G53" s="286">
        <f t="shared" si="14"/>
        <v>0</v>
      </c>
      <c r="H53" s="286">
        <f t="shared" si="14"/>
        <v>0</v>
      </c>
      <c r="I53" s="286">
        <f t="shared" si="14"/>
        <v>0</v>
      </c>
      <c r="J53" s="286">
        <f t="shared" si="14"/>
        <v>0</v>
      </c>
      <c r="K53" s="286">
        <f t="shared" si="14"/>
        <v>0</v>
      </c>
      <c r="L53" s="286">
        <f t="shared" si="14"/>
        <v>0</v>
      </c>
      <c r="M53" s="286">
        <f t="shared" si="14"/>
        <v>0</v>
      </c>
      <c r="N53" s="286">
        <f t="shared" si="14"/>
        <v>0</v>
      </c>
      <c r="O53" s="286">
        <f t="shared" si="14"/>
        <v>0</v>
      </c>
      <c r="P53" s="286">
        <f>SUM(P49:P52)</f>
        <v>0</v>
      </c>
      <c r="Q53" s="337"/>
      <c r="R53" s="326"/>
    </row>
    <row r="54" spans="1:18" ht="12.75">
      <c r="A54" s="332"/>
      <c r="B54" s="174"/>
      <c r="C54" s="288" t="s">
        <v>151</v>
      </c>
      <c r="D54" s="289"/>
      <c r="E54" s="289"/>
      <c r="F54" s="289"/>
      <c r="G54" s="289"/>
      <c r="H54" s="289"/>
      <c r="I54" s="289"/>
      <c r="J54" s="289"/>
      <c r="K54" s="289"/>
      <c r="L54" s="289"/>
      <c r="M54" s="289"/>
      <c r="N54" s="289"/>
      <c r="O54" s="289"/>
      <c r="P54" s="289"/>
      <c r="Q54" s="337"/>
      <c r="R54" s="326"/>
    </row>
    <row r="55" spans="1:18" ht="12.75">
      <c r="A55" s="332"/>
      <c r="B55" s="268" t="s">
        <v>446</v>
      </c>
      <c r="C55" s="131" t="s">
        <v>247</v>
      </c>
      <c r="D55" s="285"/>
      <c r="E55" s="286">
        <f aca="true" t="shared" si="15" ref="E55:L55">D59</f>
        <v>0</v>
      </c>
      <c r="F55" s="286">
        <f t="shared" si="15"/>
        <v>0</v>
      </c>
      <c r="G55" s="286">
        <f t="shared" si="15"/>
        <v>0</v>
      </c>
      <c r="H55" s="286">
        <f t="shared" si="15"/>
        <v>0</v>
      </c>
      <c r="I55" s="286">
        <f t="shared" si="15"/>
        <v>0</v>
      </c>
      <c r="J55" s="286">
        <f t="shared" si="15"/>
        <v>0</v>
      </c>
      <c r="K55" s="286">
        <f t="shared" si="15"/>
        <v>0</v>
      </c>
      <c r="L55" s="286">
        <f t="shared" si="15"/>
        <v>0</v>
      </c>
      <c r="M55" s="286">
        <f>G59</f>
        <v>0</v>
      </c>
      <c r="N55" s="286">
        <f>H59</f>
        <v>0</v>
      </c>
      <c r="O55" s="286">
        <f>I59</f>
        <v>0</v>
      </c>
      <c r="P55" s="286">
        <f>J59</f>
        <v>0</v>
      </c>
      <c r="Q55" s="337"/>
      <c r="R55" s="326"/>
    </row>
    <row r="56" spans="1:18" ht="12.75">
      <c r="A56" s="332"/>
      <c r="B56" s="268" t="s">
        <v>446</v>
      </c>
      <c r="C56" s="131" t="s">
        <v>221</v>
      </c>
      <c r="D56" s="285"/>
      <c r="E56" s="285"/>
      <c r="F56" s="285"/>
      <c r="G56" s="285"/>
      <c r="H56" s="285"/>
      <c r="I56" s="285"/>
      <c r="J56" s="285"/>
      <c r="K56" s="285"/>
      <c r="L56" s="285"/>
      <c r="M56" s="285"/>
      <c r="N56" s="285"/>
      <c r="O56" s="285"/>
      <c r="P56" s="285"/>
      <c r="Q56" s="337"/>
      <c r="R56" s="326"/>
    </row>
    <row r="57" spans="1:18" ht="12.75">
      <c r="A57" s="332"/>
      <c r="B57" s="268" t="s">
        <v>446</v>
      </c>
      <c r="C57" s="131" t="s">
        <v>334</v>
      </c>
      <c r="D57" s="285"/>
      <c r="E57" s="285"/>
      <c r="F57" s="285"/>
      <c r="G57" s="285"/>
      <c r="H57" s="285"/>
      <c r="I57" s="285"/>
      <c r="J57" s="285"/>
      <c r="K57" s="285"/>
      <c r="L57" s="285"/>
      <c r="M57" s="285"/>
      <c r="N57" s="285"/>
      <c r="O57" s="285"/>
      <c r="P57" s="285"/>
      <c r="Q57" s="337"/>
      <c r="R57" s="326"/>
    </row>
    <row r="58" spans="1:18" ht="11.25" customHeight="1">
      <c r="A58" s="332"/>
      <c r="B58" s="268" t="s">
        <v>446</v>
      </c>
      <c r="C58" s="131" t="s">
        <v>269</v>
      </c>
      <c r="D58" s="285"/>
      <c r="E58" s="285"/>
      <c r="F58" s="285"/>
      <c r="G58" s="285"/>
      <c r="H58" s="285"/>
      <c r="I58" s="285"/>
      <c r="J58" s="285"/>
      <c r="K58" s="285"/>
      <c r="L58" s="285"/>
      <c r="M58" s="285"/>
      <c r="N58" s="285"/>
      <c r="O58" s="285"/>
      <c r="P58" s="285"/>
      <c r="Q58" s="337"/>
      <c r="R58" s="326"/>
    </row>
    <row r="59" spans="1:18" ht="12.75">
      <c r="A59" s="328"/>
      <c r="B59" s="173"/>
      <c r="C59" s="132" t="s">
        <v>152</v>
      </c>
      <c r="D59" s="286">
        <v>0</v>
      </c>
      <c r="E59" s="286">
        <f aca="true" t="shared" si="16" ref="E59:O59">SUM(E55:E58)</f>
        <v>0</v>
      </c>
      <c r="F59" s="286">
        <f t="shared" si="16"/>
        <v>0</v>
      </c>
      <c r="G59" s="286">
        <f t="shared" si="16"/>
        <v>0</v>
      </c>
      <c r="H59" s="286">
        <f t="shared" si="16"/>
        <v>0</v>
      </c>
      <c r="I59" s="286">
        <f t="shared" si="16"/>
        <v>0</v>
      </c>
      <c r="J59" s="286">
        <f t="shared" si="16"/>
        <v>0</v>
      </c>
      <c r="K59" s="286">
        <f t="shared" si="16"/>
        <v>0</v>
      </c>
      <c r="L59" s="286">
        <f t="shared" si="16"/>
        <v>0</v>
      </c>
      <c r="M59" s="286">
        <f t="shared" si="16"/>
        <v>0</v>
      </c>
      <c r="N59" s="286">
        <f t="shared" si="16"/>
        <v>0</v>
      </c>
      <c r="O59" s="286">
        <f t="shared" si="16"/>
        <v>0</v>
      </c>
      <c r="P59" s="286">
        <f>SUM(P55:P58)</f>
        <v>0</v>
      </c>
      <c r="Q59" s="337"/>
      <c r="R59" s="326"/>
    </row>
    <row r="60" spans="1:18" ht="12.75">
      <c r="A60" s="328"/>
      <c r="B60" s="174"/>
      <c r="C60" s="288" t="s">
        <v>233</v>
      </c>
      <c r="D60" s="289"/>
      <c r="E60" s="289"/>
      <c r="F60" s="289"/>
      <c r="G60" s="289"/>
      <c r="H60" s="289"/>
      <c r="I60" s="289"/>
      <c r="J60" s="289"/>
      <c r="K60" s="289"/>
      <c r="L60" s="289"/>
      <c r="M60" s="289"/>
      <c r="N60" s="289"/>
      <c r="O60" s="289"/>
      <c r="P60" s="289"/>
      <c r="Q60" s="337"/>
      <c r="R60" s="326"/>
    </row>
    <row r="61" spans="1:18" ht="12.75">
      <c r="A61" s="328"/>
      <c r="B61" s="268" t="s">
        <v>446</v>
      </c>
      <c r="C61" s="131" t="s">
        <v>247</v>
      </c>
      <c r="D61" s="285">
        <v>1985188.666647162</v>
      </c>
      <c r="E61" s="286">
        <f>D65</f>
        <v>1985188.666647162</v>
      </c>
      <c r="F61" s="286">
        <f>E65</f>
        <v>1324549.251335972</v>
      </c>
      <c r="G61" s="286">
        <f>F65</f>
        <v>654632.2691405367</v>
      </c>
      <c r="H61" s="286">
        <f aca="true" t="shared" si="17" ref="H61:P61">G65</f>
        <v>-20889.42416950816</v>
      </c>
      <c r="I61" s="286">
        <f t="shared" si="17"/>
        <v>-21166.892801740716</v>
      </c>
      <c r="J61" s="286">
        <f t="shared" si="17"/>
        <v>-21444.361433973278</v>
      </c>
      <c r="K61" s="286">
        <f t="shared" si="17"/>
        <v>-51420.72329607874</v>
      </c>
      <c r="L61" s="286">
        <f t="shared" si="17"/>
        <v>-49392.629296192245</v>
      </c>
      <c r="M61" s="286">
        <f t="shared" si="17"/>
        <v>-47206.632272896706</v>
      </c>
      <c r="N61" s="286">
        <f t="shared" si="17"/>
        <v>-44953.521590624085</v>
      </c>
      <c r="O61" s="286">
        <f t="shared" si="17"/>
        <v>-42160.71837173665</v>
      </c>
      <c r="P61" s="286">
        <f t="shared" si="17"/>
        <v>-40428.87767385754</v>
      </c>
      <c r="Q61" s="337"/>
      <c r="R61" s="326"/>
    </row>
    <row r="62" spans="1:18" ht="12.75">
      <c r="A62" s="328"/>
      <c r="B62" s="268" t="s">
        <v>446</v>
      </c>
      <c r="C62" s="131" t="s">
        <v>221</v>
      </c>
      <c r="D62" s="285"/>
      <c r="E62" s="285">
        <v>0</v>
      </c>
      <c r="F62" s="285">
        <v>0</v>
      </c>
      <c r="G62" s="285">
        <v>0</v>
      </c>
      <c r="H62" s="285">
        <v>0</v>
      </c>
      <c r="I62" s="285">
        <v>0</v>
      </c>
      <c r="J62" s="285">
        <v>0</v>
      </c>
      <c r="K62" s="285">
        <v>0</v>
      </c>
      <c r="L62" s="285">
        <v>0</v>
      </c>
      <c r="M62" s="285">
        <v>0</v>
      </c>
      <c r="N62" s="285">
        <v>0</v>
      </c>
      <c r="O62" s="285">
        <v>0</v>
      </c>
      <c r="P62" s="285">
        <v>0</v>
      </c>
      <c r="Q62" s="337"/>
      <c r="R62" s="326"/>
    </row>
    <row r="63" spans="1:18" ht="12.75">
      <c r="A63" s="328"/>
      <c r="B63" s="268" t="s">
        <v>446</v>
      </c>
      <c r="C63" s="131" t="s">
        <v>275</v>
      </c>
      <c r="D63" s="285"/>
      <c r="E63" s="285">
        <v>-660639.4153111902</v>
      </c>
      <c r="F63" s="285">
        <v>-669916.9821954353</v>
      </c>
      <c r="G63" s="285">
        <v>-675521.6933100448</v>
      </c>
      <c r="H63" s="285">
        <v>-277.46863223255673</v>
      </c>
      <c r="I63" s="285">
        <v>-277.4686322325616</v>
      </c>
      <c r="J63" s="285">
        <v>-316.5219399848486</v>
      </c>
      <c r="K63" s="285">
        <v>2028.093999886495</v>
      </c>
      <c r="L63" s="285">
        <v>2185.9970232955375</v>
      </c>
      <c r="M63" s="285">
        <v>2253.110682272623</v>
      </c>
      <c r="N63" s="285">
        <v>2792.8032188874363</v>
      </c>
      <c r="O63" s="285">
        <v>1731.840697879112</v>
      </c>
      <c r="P63" s="285">
        <v>76.30503391781889</v>
      </c>
      <c r="Q63" s="337"/>
      <c r="R63" s="326"/>
    </row>
    <row r="64" spans="1:18" ht="12.75">
      <c r="A64" s="328"/>
      <c r="B64" s="268" t="s">
        <v>446</v>
      </c>
      <c r="C64" s="131" t="s">
        <v>269</v>
      </c>
      <c r="D64" s="285"/>
      <c r="E64" s="285">
        <v>0</v>
      </c>
      <c r="F64" s="285">
        <v>0</v>
      </c>
      <c r="G64" s="285">
        <v>0</v>
      </c>
      <c r="H64" s="285">
        <v>0</v>
      </c>
      <c r="I64" s="285">
        <v>0</v>
      </c>
      <c r="J64" s="285">
        <v>-29659.839922120613</v>
      </c>
      <c r="K64" s="285">
        <v>0</v>
      </c>
      <c r="L64" s="285">
        <v>0</v>
      </c>
      <c r="M64" s="285">
        <v>0</v>
      </c>
      <c r="N64" s="285">
        <v>0</v>
      </c>
      <c r="O64" s="285">
        <v>0</v>
      </c>
      <c r="P64" s="285">
        <v>0</v>
      </c>
      <c r="Q64" s="337"/>
      <c r="R64" s="326"/>
    </row>
    <row r="65" spans="1:18" ht="12.75">
      <c r="A65" s="328"/>
      <c r="B65" s="173"/>
      <c r="C65" s="132" t="s">
        <v>234</v>
      </c>
      <c r="D65" s="286">
        <v>1985188.666647162</v>
      </c>
      <c r="E65" s="286">
        <f aca="true" t="shared" si="18" ref="E65:O65">SUM(E61:E64)</f>
        <v>1324549.251335972</v>
      </c>
      <c r="F65" s="286">
        <f t="shared" si="18"/>
        <v>654632.2691405367</v>
      </c>
      <c r="G65" s="286">
        <f t="shared" si="18"/>
        <v>-20889.42416950816</v>
      </c>
      <c r="H65" s="286">
        <f t="shared" si="18"/>
        <v>-21166.892801740716</v>
      </c>
      <c r="I65" s="286">
        <f t="shared" si="18"/>
        <v>-21444.361433973278</v>
      </c>
      <c r="J65" s="286">
        <f t="shared" si="18"/>
        <v>-51420.72329607874</v>
      </c>
      <c r="K65" s="286">
        <f t="shared" si="18"/>
        <v>-49392.629296192245</v>
      </c>
      <c r="L65" s="286">
        <f t="shared" si="18"/>
        <v>-47206.632272896706</v>
      </c>
      <c r="M65" s="286">
        <f t="shared" si="18"/>
        <v>-44953.521590624085</v>
      </c>
      <c r="N65" s="286">
        <f t="shared" si="18"/>
        <v>-42160.71837173665</v>
      </c>
      <c r="O65" s="286">
        <f t="shared" si="18"/>
        <v>-40428.87767385754</v>
      </c>
      <c r="P65" s="286">
        <f>SUM(P61:P64)</f>
        <v>-40352.572639939724</v>
      </c>
      <c r="Q65" s="337"/>
      <c r="R65" s="326"/>
    </row>
    <row r="66" spans="1:18" ht="12.75">
      <c r="A66" s="332"/>
      <c r="B66" s="174"/>
      <c r="C66" s="288" t="s">
        <v>298</v>
      </c>
      <c r="D66" s="289"/>
      <c r="E66" s="289"/>
      <c r="F66" s="289"/>
      <c r="G66" s="289"/>
      <c r="H66" s="289"/>
      <c r="I66" s="289"/>
      <c r="J66" s="289"/>
      <c r="K66" s="289"/>
      <c r="L66" s="289"/>
      <c r="M66" s="289"/>
      <c r="N66" s="289"/>
      <c r="O66" s="289"/>
      <c r="P66" s="289"/>
      <c r="Q66" s="337"/>
      <c r="R66" s="326"/>
    </row>
    <row r="67" spans="1:18" ht="12.75">
      <c r="A67" s="328"/>
      <c r="B67" s="268" t="s">
        <v>446</v>
      </c>
      <c r="C67" s="131" t="s">
        <v>247</v>
      </c>
      <c r="D67" s="285"/>
      <c r="E67" s="286">
        <f aca="true" t="shared" si="19" ref="E67:L67">D71</f>
        <v>0</v>
      </c>
      <c r="F67" s="286">
        <f t="shared" si="19"/>
        <v>0</v>
      </c>
      <c r="G67" s="286">
        <f t="shared" si="19"/>
        <v>0</v>
      </c>
      <c r="H67" s="286">
        <f t="shared" si="19"/>
        <v>0</v>
      </c>
      <c r="I67" s="286">
        <f t="shared" si="19"/>
        <v>0</v>
      </c>
      <c r="J67" s="286">
        <f t="shared" si="19"/>
        <v>0</v>
      </c>
      <c r="K67" s="286">
        <f t="shared" si="19"/>
        <v>0</v>
      </c>
      <c r="L67" s="286">
        <f t="shared" si="19"/>
        <v>0</v>
      </c>
      <c r="M67" s="286">
        <f>G71</f>
        <v>0</v>
      </c>
      <c r="N67" s="286">
        <f>H71</f>
        <v>0</v>
      </c>
      <c r="O67" s="286">
        <f>I71</f>
        <v>0</v>
      </c>
      <c r="P67" s="286">
        <f>J71</f>
        <v>0</v>
      </c>
      <c r="Q67" s="337"/>
      <c r="R67" s="326"/>
    </row>
    <row r="68" spans="1:18" ht="12.75">
      <c r="A68" s="328"/>
      <c r="B68" s="268" t="s">
        <v>446</v>
      </c>
      <c r="C68" s="131" t="s">
        <v>221</v>
      </c>
      <c r="D68" s="285">
        <v>0</v>
      </c>
      <c r="E68" s="285"/>
      <c r="F68" s="285"/>
      <c r="G68" s="285"/>
      <c r="H68" s="285"/>
      <c r="I68" s="285"/>
      <c r="J68" s="285"/>
      <c r="K68" s="285"/>
      <c r="L68" s="285"/>
      <c r="M68" s="285"/>
      <c r="N68" s="285"/>
      <c r="O68" s="285"/>
      <c r="P68" s="285"/>
      <c r="Q68" s="337"/>
      <c r="R68" s="326"/>
    </row>
    <row r="69" spans="1:18" ht="12.75">
      <c r="A69" s="328"/>
      <c r="B69" s="268" t="s">
        <v>446</v>
      </c>
      <c r="C69" s="131" t="s">
        <v>275</v>
      </c>
      <c r="D69" s="285"/>
      <c r="E69" s="285"/>
      <c r="F69" s="285"/>
      <c r="G69" s="285"/>
      <c r="H69" s="285"/>
      <c r="I69" s="285"/>
      <c r="J69" s="285"/>
      <c r="K69" s="285"/>
      <c r="L69" s="285"/>
      <c r="M69" s="285"/>
      <c r="N69" s="285"/>
      <c r="O69" s="285"/>
      <c r="P69" s="285"/>
      <c r="Q69" s="337"/>
      <c r="R69" s="326"/>
    </row>
    <row r="70" spans="1:18" ht="12.75">
      <c r="A70" s="328"/>
      <c r="B70" s="268" t="s">
        <v>446</v>
      </c>
      <c r="C70" s="131" t="s">
        <v>269</v>
      </c>
      <c r="D70" s="285"/>
      <c r="E70" s="285"/>
      <c r="F70" s="285"/>
      <c r="G70" s="285"/>
      <c r="H70" s="285"/>
      <c r="I70" s="285"/>
      <c r="J70" s="285"/>
      <c r="K70" s="285"/>
      <c r="L70" s="285"/>
      <c r="M70" s="285"/>
      <c r="N70" s="285"/>
      <c r="O70" s="285"/>
      <c r="P70" s="285"/>
      <c r="Q70" s="337"/>
      <c r="R70" s="326"/>
    </row>
    <row r="71" spans="1:18" ht="12.75">
      <c r="A71" s="328"/>
      <c r="B71" s="173"/>
      <c r="C71" s="132" t="s">
        <v>299</v>
      </c>
      <c r="D71" s="286">
        <f aca="true" t="shared" si="20" ref="D71:O71">SUM(D67:D70)</f>
        <v>0</v>
      </c>
      <c r="E71" s="286">
        <f t="shared" si="20"/>
        <v>0</v>
      </c>
      <c r="F71" s="286">
        <f t="shared" si="20"/>
        <v>0</v>
      </c>
      <c r="G71" s="286">
        <f t="shared" si="20"/>
        <v>0</v>
      </c>
      <c r="H71" s="286">
        <f t="shared" si="20"/>
        <v>0</v>
      </c>
      <c r="I71" s="286">
        <f t="shared" si="20"/>
        <v>0</v>
      </c>
      <c r="J71" s="286">
        <f t="shared" si="20"/>
        <v>0</v>
      </c>
      <c r="K71" s="286">
        <f t="shared" si="20"/>
        <v>0</v>
      </c>
      <c r="L71" s="286">
        <f t="shared" si="20"/>
        <v>0</v>
      </c>
      <c r="M71" s="286">
        <f t="shared" si="20"/>
        <v>0</v>
      </c>
      <c r="N71" s="286">
        <f t="shared" si="20"/>
        <v>0</v>
      </c>
      <c r="O71" s="286">
        <f t="shared" si="20"/>
        <v>0</v>
      </c>
      <c r="P71" s="286">
        <f>SUM(P67:P70)</f>
        <v>0</v>
      </c>
      <c r="Q71" s="337"/>
      <c r="R71" s="326"/>
    </row>
    <row r="72" spans="1:18" ht="12.75">
      <c r="A72" s="328"/>
      <c r="B72" s="173"/>
      <c r="C72" s="132" t="s">
        <v>78</v>
      </c>
      <c r="D72" s="290">
        <f aca="true" t="shared" si="21" ref="D72:O72">SUM(D17,D23,D29,D35,D41,D47,D53,D59,D65,D71)</f>
        <v>309991226.4319295</v>
      </c>
      <c r="E72" s="290">
        <f t="shared" si="21"/>
        <v>323538001.0958869</v>
      </c>
      <c r="F72" s="290">
        <f t="shared" si="21"/>
        <v>346148613.5749624</v>
      </c>
      <c r="G72" s="290">
        <f t="shared" si="21"/>
        <v>373755593.2617002</v>
      </c>
      <c r="H72" s="290">
        <f t="shared" si="21"/>
        <v>396509387.40740883</v>
      </c>
      <c r="I72" s="290">
        <f t="shared" si="21"/>
        <v>415348181.75633055</v>
      </c>
      <c r="J72" s="290">
        <f t="shared" si="21"/>
        <v>428862727.5647022</v>
      </c>
      <c r="K72" s="290">
        <f t="shared" si="21"/>
        <v>444401553.0929541</v>
      </c>
      <c r="L72" s="290">
        <f t="shared" si="21"/>
        <v>459529247.6620979</v>
      </c>
      <c r="M72" s="290">
        <f t="shared" si="21"/>
        <v>471319254.9959733</v>
      </c>
      <c r="N72" s="290">
        <f t="shared" si="21"/>
        <v>475861804.4752185</v>
      </c>
      <c r="O72" s="290">
        <f t="shared" si="21"/>
        <v>498204261.30851996</v>
      </c>
      <c r="P72" s="290">
        <f>SUM(P17,P23,P29,P35,P41,P47,P53,P59,P65,P71)</f>
        <v>517123874.7759323</v>
      </c>
      <c r="Q72" s="337"/>
      <c r="R72" s="326"/>
    </row>
    <row r="73" spans="1:18" ht="12.75">
      <c r="A73" s="332"/>
      <c r="B73" s="174"/>
      <c r="C73" s="288" t="s">
        <v>121</v>
      </c>
      <c r="D73" s="289"/>
      <c r="E73" s="289"/>
      <c r="F73" s="289"/>
      <c r="G73" s="289"/>
      <c r="H73" s="289"/>
      <c r="I73" s="289"/>
      <c r="J73" s="289"/>
      <c r="K73" s="289"/>
      <c r="L73" s="289"/>
      <c r="M73" s="289"/>
      <c r="N73" s="289"/>
      <c r="O73" s="289"/>
      <c r="P73" s="289"/>
      <c r="Q73" s="337"/>
      <c r="R73" s="326"/>
    </row>
    <row r="74" spans="1:18" ht="12.75">
      <c r="A74" s="328"/>
      <c r="B74" s="268" t="s">
        <v>446</v>
      </c>
      <c r="C74" s="131" t="s">
        <v>247</v>
      </c>
      <c r="D74" s="285">
        <v>8882898.95793366</v>
      </c>
      <c r="E74" s="286">
        <f aca="true" t="shared" si="22" ref="E74:P74">D78</f>
        <v>8882898.95793366</v>
      </c>
      <c r="F74" s="286">
        <f t="shared" si="22"/>
        <v>7438837.2735935915</v>
      </c>
      <c r="G74" s="286">
        <f t="shared" si="22"/>
        <v>5846787.490498086</v>
      </c>
      <c r="H74" s="338">
        <f t="shared" si="22"/>
        <v>4847128.796883704</v>
      </c>
      <c r="I74" s="338">
        <f t="shared" si="22"/>
        <v>4639775.30640898</v>
      </c>
      <c r="J74" s="338">
        <f t="shared" si="22"/>
        <v>6305780.26136451</v>
      </c>
      <c r="K74" s="338">
        <f t="shared" si="22"/>
        <v>5874035.948860969</v>
      </c>
      <c r="L74" s="338">
        <f t="shared" si="22"/>
        <v>5747078.325347027</v>
      </c>
      <c r="M74" s="338">
        <f t="shared" si="22"/>
        <v>5870103.0090379715</v>
      </c>
      <c r="N74" s="338">
        <f t="shared" si="22"/>
        <v>6355637.817226354</v>
      </c>
      <c r="O74" s="338">
        <f t="shared" si="22"/>
        <v>6539405.334318849</v>
      </c>
      <c r="P74" s="338">
        <f t="shared" si="22"/>
        <v>7036229.831641712</v>
      </c>
      <c r="Q74" s="337"/>
      <c r="R74" s="326"/>
    </row>
    <row r="75" spans="1:18" ht="12.75">
      <c r="A75" s="328"/>
      <c r="B75" s="268" t="s">
        <v>446</v>
      </c>
      <c r="C75" s="131" t="s">
        <v>221</v>
      </c>
      <c r="D75" s="285"/>
      <c r="E75" s="285">
        <v>174658.26457664103</v>
      </c>
      <c r="F75" s="285">
        <v>26895.499170723473</v>
      </c>
      <c r="G75" s="285">
        <v>682080.6633028688</v>
      </c>
      <c r="H75" s="285">
        <v>1705789.7489566922</v>
      </c>
      <c r="I75" s="285">
        <v>3781821.9679743936</v>
      </c>
      <c r="J75" s="285">
        <v>194757.01846081275</v>
      </c>
      <c r="K75" s="285">
        <v>530624.6424612111</v>
      </c>
      <c r="L75" s="285">
        <v>913058.447029934</v>
      </c>
      <c r="M75" s="285">
        <v>1471858.9259464536</v>
      </c>
      <c r="N75" s="285">
        <v>1543403.1731737936</v>
      </c>
      <c r="O75" s="285">
        <v>2005849.263586712</v>
      </c>
      <c r="P75" s="285">
        <v>868587.4281099989</v>
      </c>
      <c r="Q75" s="337"/>
      <c r="R75" s="326"/>
    </row>
    <row r="76" spans="1:18" ht="12.75">
      <c r="A76" s="328"/>
      <c r="B76" s="268" t="s">
        <v>446</v>
      </c>
      <c r="C76" s="131" t="s">
        <v>276</v>
      </c>
      <c r="D76" s="285"/>
      <c r="E76" s="285">
        <v>-1618719.9489167114</v>
      </c>
      <c r="F76" s="285">
        <v>-1618945.282266229</v>
      </c>
      <c r="G76" s="285">
        <v>-1681739.3569172511</v>
      </c>
      <c r="H76" s="285">
        <v>-1913143.2394314166</v>
      </c>
      <c r="I76" s="285">
        <v>-2115817.0130188633</v>
      </c>
      <c r="J76" s="285">
        <v>-626501.3309643541</v>
      </c>
      <c r="K76" s="285">
        <v>-657582.2659751541</v>
      </c>
      <c r="L76" s="285">
        <v>-790033.7633389897</v>
      </c>
      <c r="M76" s="285">
        <v>-986324.1177580706</v>
      </c>
      <c r="N76" s="285">
        <v>-1359635.6560812981</v>
      </c>
      <c r="O76" s="285">
        <v>-1509024.7662638489</v>
      </c>
      <c r="P76" s="285">
        <v>-809568.9427880488</v>
      </c>
      <c r="Q76" s="337"/>
      <c r="R76" s="326"/>
    </row>
    <row r="77" spans="1:18" ht="12.75">
      <c r="A77" s="328"/>
      <c r="B77" s="268" t="s">
        <v>446</v>
      </c>
      <c r="C77" s="131" t="s">
        <v>281</v>
      </c>
      <c r="D77" s="285"/>
      <c r="E77" s="285"/>
      <c r="F77" s="285"/>
      <c r="G77" s="285"/>
      <c r="H77" s="285"/>
      <c r="I77" s="285"/>
      <c r="J77" s="285"/>
      <c r="K77" s="285"/>
      <c r="L77" s="285"/>
      <c r="M77" s="285"/>
      <c r="N77" s="285"/>
      <c r="O77" s="285"/>
      <c r="P77" s="285"/>
      <c r="Q77" s="337"/>
      <c r="R77" s="326"/>
    </row>
    <row r="78" spans="1:18" ht="12.75">
      <c r="A78" s="328"/>
      <c r="B78" s="173"/>
      <c r="C78" s="132" t="s">
        <v>122</v>
      </c>
      <c r="D78" s="286">
        <f aca="true" t="shared" si="23" ref="D78:O78">SUM(D74:D77)</f>
        <v>8882898.95793366</v>
      </c>
      <c r="E78" s="286">
        <f t="shared" si="23"/>
        <v>7438837.2735935915</v>
      </c>
      <c r="F78" s="286">
        <f t="shared" si="23"/>
        <v>5846787.490498086</v>
      </c>
      <c r="G78" s="286">
        <f t="shared" si="23"/>
        <v>4847128.796883704</v>
      </c>
      <c r="H78" s="286">
        <f t="shared" si="23"/>
        <v>4639775.30640898</v>
      </c>
      <c r="I78" s="286">
        <f t="shared" si="23"/>
        <v>6305780.26136451</v>
      </c>
      <c r="J78" s="286">
        <f t="shared" si="23"/>
        <v>5874035.948860969</v>
      </c>
      <c r="K78" s="286">
        <f t="shared" si="23"/>
        <v>5747078.325347027</v>
      </c>
      <c r="L78" s="286">
        <f t="shared" si="23"/>
        <v>5870103.0090379715</v>
      </c>
      <c r="M78" s="286">
        <f t="shared" si="23"/>
        <v>6355637.817226354</v>
      </c>
      <c r="N78" s="286">
        <f t="shared" si="23"/>
        <v>6539405.334318849</v>
      </c>
      <c r="O78" s="286">
        <f t="shared" si="23"/>
        <v>7036229.831641712</v>
      </c>
      <c r="P78" s="286">
        <f>SUM(P74:P77)</f>
        <v>7095248.316963662</v>
      </c>
      <c r="Q78" s="337"/>
      <c r="R78" s="326"/>
    </row>
    <row r="79" spans="1:18" ht="12.75">
      <c r="A79" s="332"/>
      <c r="B79" s="174"/>
      <c r="C79" s="288" t="s">
        <v>300</v>
      </c>
      <c r="D79" s="289"/>
      <c r="E79" s="289"/>
      <c r="F79" s="289"/>
      <c r="G79" s="289"/>
      <c r="H79" s="289"/>
      <c r="I79" s="289"/>
      <c r="J79" s="289"/>
      <c r="K79" s="289"/>
      <c r="L79" s="289"/>
      <c r="M79" s="289"/>
      <c r="N79" s="289"/>
      <c r="O79" s="289"/>
      <c r="P79" s="289"/>
      <c r="Q79" s="337"/>
      <c r="R79" s="326"/>
    </row>
    <row r="80" spans="1:18" ht="12.75">
      <c r="A80" s="328"/>
      <c r="B80" s="268" t="s">
        <v>446</v>
      </c>
      <c r="C80" s="131" t="s">
        <v>247</v>
      </c>
      <c r="D80" s="285"/>
      <c r="E80" s="286">
        <f aca="true" t="shared" si="24" ref="E80:P80">D84</f>
        <v>0</v>
      </c>
      <c r="F80" s="286">
        <f t="shared" si="24"/>
        <v>0</v>
      </c>
      <c r="G80" s="286">
        <f t="shared" si="24"/>
        <v>0</v>
      </c>
      <c r="H80" s="286">
        <f t="shared" si="24"/>
        <v>0</v>
      </c>
      <c r="I80" s="286">
        <f t="shared" si="24"/>
        <v>0</v>
      </c>
      <c r="J80" s="286">
        <f t="shared" si="24"/>
        <v>0</v>
      </c>
      <c r="K80" s="286">
        <f t="shared" si="24"/>
        <v>0</v>
      </c>
      <c r="L80" s="286">
        <f t="shared" si="24"/>
        <v>0</v>
      </c>
      <c r="M80" s="286">
        <f t="shared" si="24"/>
        <v>0</v>
      </c>
      <c r="N80" s="286">
        <f t="shared" si="24"/>
        <v>0</v>
      </c>
      <c r="O80" s="286">
        <f t="shared" si="24"/>
        <v>0</v>
      </c>
      <c r="P80" s="286">
        <f t="shared" si="24"/>
        <v>0</v>
      </c>
      <c r="Q80" s="337"/>
      <c r="R80" s="326"/>
    </row>
    <row r="81" spans="1:18" ht="12.75">
      <c r="A81" s="328"/>
      <c r="B81" s="268" t="s">
        <v>446</v>
      </c>
      <c r="C81" s="131" t="s">
        <v>221</v>
      </c>
      <c r="D81" s="285"/>
      <c r="E81" s="285"/>
      <c r="F81" s="285"/>
      <c r="G81" s="285"/>
      <c r="H81" s="285"/>
      <c r="I81" s="285"/>
      <c r="J81" s="285"/>
      <c r="K81" s="285"/>
      <c r="L81" s="285"/>
      <c r="M81" s="285"/>
      <c r="N81" s="285"/>
      <c r="O81" s="285"/>
      <c r="P81" s="285"/>
      <c r="Q81" s="337"/>
      <c r="R81" s="326"/>
    </row>
    <row r="82" spans="1:18" ht="12.75">
      <c r="A82" s="328"/>
      <c r="B82" s="268" t="s">
        <v>446</v>
      </c>
      <c r="C82" s="131" t="s">
        <v>275</v>
      </c>
      <c r="D82" s="285"/>
      <c r="E82" s="285"/>
      <c r="F82" s="285"/>
      <c r="G82" s="285"/>
      <c r="H82" s="285"/>
      <c r="I82" s="285"/>
      <c r="J82" s="285"/>
      <c r="K82" s="285"/>
      <c r="L82" s="285"/>
      <c r="M82" s="285"/>
      <c r="N82" s="285"/>
      <c r="O82" s="285"/>
      <c r="P82" s="285"/>
      <c r="Q82" s="337"/>
      <c r="R82" s="326"/>
    </row>
    <row r="83" spans="1:18" ht="12.75">
      <c r="A83" s="328"/>
      <c r="B83" s="268" t="s">
        <v>446</v>
      </c>
      <c r="C83" s="131" t="s">
        <v>269</v>
      </c>
      <c r="D83" s="285"/>
      <c r="E83" s="285"/>
      <c r="F83" s="285"/>
      <c r="G83" s="285"/>
      <c r="H83" s="285"/>
      <c r="I83" s="285"/>
      <c r="J83" s="285"/>
      <c r="K83" s="285"/>
      <c r="L83" s="285"/>
      <c r="M83" s="285"/>
      <c r="N83" s="285"/>
      <c r="O83" s="285"/>
      <c r="P83" s="285"/>
      <c r="Q83" s="337"/>
      <c r="R83" s="326"/>
    </row>
    <row r="84" spans="1:18" ht="12.75">
      <c r="A84" s="328"/>
      <c r="B84" s="173"/>
      <c r="C84" s="132" t="s">
        <v>301</v>
      </c>
      <c r="D84" s="286">
        <f aca="true" t="shared" si="25" ref="D84:O84">SUM(D80:D83)</f>
        <v>0</v>
      </c>
      <c r="E84" s="286">
        <f t="shared" si="25"/>
        <v>0</v>
      </c>
      <c r="F84" s="286">
        <f t="shared" si="25"/>
        <v>0</v>
      </c>
      <c r="G84" s="286">
        <f t="shared" si="25"/>
        <v>0</v>
      </c>
      <c r="H84" s="286">
        <f t="shared" si="25"/>
        <v>0</v>
      </c>
      <c r="I84" s="286">
        <f t="shared" si="25"/>
        <v>0</v>
      </c>
      <c r="J84" s="286">
        <f t="shared" si="25"/>
        <v>0</v>
      </c>
      <c r="K84" s="286">
        <f t="shared" si="25"/>
        <v>0</v>
      </c>
      <c r="L84" s="286">
        <f t="shared" si="25"/>
        <v>0</v>
      </c>
      <c r="M84" s="286">
        <f t="shared" si="25"/>
        <v>0</v>
      </c>
      <c r="N84" s="286">
        <f t="shared" si="25"/>
        <v>0</v>
      </c>
      <c r="O84" s="286">
        <f t="shared" si="25"/>
        <v>0</v>
      </c>
      <c r="P84" s="286">
        <f>SUM(P80:P83)</f>
        <v>0</v>
      </c>
      <c r="Q84" s="337"/>
      <c r="R84" s="326"/>
    </row>
    <row r="85" spans="1:18" ht="12.75">
      <c r="A85" s="328"/>
      <c r="B85" s="268" t="s">
        <v>446</v>
      </c>
      <c r="C85" s="131" t="s">
        <v>278</v>
      </c>
      <c r="D85" s="285"/>
      <c r="E85" s="286">
        <f aca="true" t="shared" si="26" ref="E85:L85">D87</f>
        <v>0</v>
      </c>
      <c r="F85" s="286">
        <f t="shared" si="26"/>
        <v>0</v>
      </c>
      <c r="G85" s="286">
        <f t="shared" si="26"/>
        <v>0</v>
      </c>
      <c r="H85" s="286">
        <f t="shared" si="26"/>
        <v>0</v>
      </c>
      <c r="I85" s="286">
        <f t="shared" si="26"/>
        <v>0</v>
      </c>
      <c r="J85" s="286">
        <f t="shared" si="26"/>
        <v>0</v>
      </c>
      <c r="K85" s="286">
        <f t="shared" si="26"/>
        <v>0</v>
      </c>
      <c r="L85" s="286">
        <f t="shared" si="26"/>
        <v>0</v>
      </c>
      <c r="M85" s="286">
        <f>G87</f>
        <v>0</v>
      </c>
      <c r="N85" s="286">
        <f>H87</f>
        <v>0</v>
      </c>
      <c r="O85" s="286">
        <f>I87</f>
        <v>0</v>
      </c>
      <c r="P85" s="286">
        <f>J87</f>
        <v>0</v>
      </c>
      <c r="Q85" s="337"/>
      <c r="R85" s="326"/>
    </row>
    <row r="86" spans="1:18" ht="12.75">
      <c r="A86" s="328"/>
      <c r="B86" s="268" t="s">
        <v>446</v>
      </c>
      <c r="C86" s="131" t="s">
        <v>279</v>
      </c>
      <c r="D86" s="285"/>
      <c r="E86" s="285"/>
      <c r="F86" s="285"/>
      <c r="G86" s="285"/>
      <c r="H86" s="285"/>
      <c r="I86" s="285"/>
      <c r="J86" s="285"/>
      <c r="K86" s="285"/>
      <c r="L86" s="285"/>
      <c r="M86" s="285"/>
      <c r="N86" s="285"/>
      <c r="O86" s="285"/>
      <c r="P86" s="285"/>
      <c r="Q86" s="337"/>
      <c r="R86" s="326"/>
    </row>
    <row r="87" spans="1:18" ht="12.75">
      <c r="A87" s="328"/>
      <c r="B87" s="287"/>
      <c r="C87" s="132" t="s">
        <v>280</v>
      </c>
      <c r="D87" s="286">
        <f aca="true" t="shared" si="27" ref="D87:O87">D85+D86</f>
        <v>0</v>
      </c>
      <c r="E87" s="286">
        <f t="shared" si="27"/>
        <v>0</v>
      </c>
      <c r="F87" s="286">
        <f t="shared" si="27"/>
        <v>0</v>
      </c>
      <c r="G87" s="286">
        <f t="shared" si="27"/>
        <v>0</v>
      </c>
      <c r="H87" s="286">
        <f t="shared" si="27"/>
        <v>0</v>
      </c>
      <c r="I87" s="286">
        <f t="shared" si="27"/>
        <v>0</v>
      </c>
      <c r="J87" s="286">
        <f t="shared" si="27"/>
        <v>0</v>
      </c>
      <c r="K87" s="286">
        <f t="shared" si="27"/>
        <v>0</v>
      </c>
      <c r="L87" s="286">
        <f t="shared" si="27"/>
        <v>0</v>
      </c>
      <c r="M87" s="286">
        <f t="shared" si="27"/>
        <v>0</v>
      </c>
      <c r="N87" s="286">
        <f t="shared" si="27"/>
        <v>0</v>
      </c>
      <c r="O87" s="286">
        <f t="shared" si="27"/>
        <v>0</v>
      </c>
      <c r="P87" s="286">
        <f>P85+P86</f>
        <v>0</v>
      </c>
      <c r="Q87" s="337"/>
      <c r="R87" s="326"/>
    </row>
    <row r="88" spans="1:18" ht="12.75">
      <c r="A88" s="328"/>
      <c r="B88" s="287"/>
      <c r="C88" s="132" t="s">
        <v>123</v>
      </c>
      <c r="D88" s="290">
        <f aca="true" t="shared" si="28" ref="D88:O88">SUM(D78,D84,D87)</f>
        <v>8882898.95793366</v>
      </c>
      <c r="E88" s="290">
        <f t="shared" si="28"/>
        <v>7438837.2735935915</v>
      </c>
      <c r="F88" s="290">
        <f t="shared" si="28"/>
        <v>5846787.490498086</v>
      </c>
      <c r="G88" s="290">
        <f t="shared" si="28"/>
        <v>4847128.796883704</v>
      </c>
      <c r="H88" s="290">
        <f t="shared" si="28"/>
        <v>4639775.30640898</v>
      </c>
      <c r="I88" s="290">
        <f t="shared" si="28"/>
        <v>6305780.26136451</v>
      </c>
      <c r="J88" s="290">
        <f t="shared" si="28"/>
        <v>5874035.948860969</v>
      </c>
      <c r="K88" s="290">
        <f t="shared" si="28"/>
        <v>5747078.325347027</v>
      </c>
      <c r="L88" s="290">
        <f t="shared" si="28"/>
        <v>5870103.0090379715</v>
      </c>
      <c r="M88" s="290">
        <f t="shared" si="28"/>
        <v>6355637.817226354</v>
      </c>
      <c r="N88" s="290">
        <f t="shared" si="28"/>
        <v>6539405.334318849</v>
      </c>
      <c r="O88" s="290">
        <f t="shared" si="28"/>
        <v>7036229.831641712</v>
      </c>
      <c r="P88" s="290">
        <f>SUM(P78,P84,P87)</f>
        <v>7095248.316963662</v>
      </c>
      <c r="Q88" s="337"/>
      <c r="R88" s="326"/>
    </row>
    <row r="89" spans="1:18" ht="12.75" customHeight="1">
      <c r="A89" s="328"/>
      <c r="B89" s="287"/>
      <c r="C89" s="132" t="s">
        <v>24</v>
      </c>
      <c r="D89" s="290">
        <f aca="true" t="shared" si="29" ref="D89:O89">D72+D88</f>
        <v>318874125.3898632</v>
      </c>
      <c r="E89" s="290">
        <f t="shared" si="29"/>
        <v>330976838.3694805</v>
      </c>
      <c r="F89" s="290">
        <f t="shared" si="29"/>
        <v>351995401.06546044</v>
      </c>
      <c r="G89" s="290">
        <f t="shared" si="29"/>
        <v>378602722.0585839</v>
      </c>
      <c r="H89" s="290">
        <f t="shared" si="29"/>
        <v>401149162.71381783</v>
      </c>
      <c r="I89" s="290">
        <f t="shared" si="29"/>
        <v>421653962.01769507</v>
      </c>
      <c r="J89" s="290">
        <f t="shared" si="29"/>
        <v>434736763.51356316</v>
      </c>
      <c r="K89" s="290">
        <f t="shared" si="29"/>
        <v>450148631.4183011</v>
      </c>
      <c r="L89" s="290">
        <f t="shared" si="29"/>
        <v>465399350.67113584</v>
      </c>
      <c r="M89" s="290">
        <f t="shared" si="29"/>
        <v>477674892.81319964</v>
      </c>
      <c r="N89" s="290">
        <f t="shared" si="29"/>
        <v>482401209.80953735</v>
      </c>
      <c r="O89" s="290">
        <f t="shared" si="29"/>
        <v>505240491.1401617</v>
      </c>
      <c r="P89" s="290">
        <f>P72+P88</f>
        <v>524219123.092896</v>
      </c>
      <c r="Q89" s="337"/>
      <c r="R89" s="326"/>
    </row>
    <row r="90" spans="1:18" ht="12.75">
      <c r="A90" s="328"/>
      <c r="C90" s="132" t="s">
        <v>263</v>
      </c>
      <c r="D90" s="291"/>
      <c r="E90" s="291">
        <v>0.015846066779853007</v>
      </c>
      <c r="F90" s="291">
        <v>0.025025025025025016</v>
      </c>
      <c r="G90" s="291">
        <v>0.029296875</v>
      </c>
      <c r="H90" s="291">
        <v>0.013282732447817747</v>
      </c>
      <c r="I90" s="291">
        <v>0.013108614232209881</v>
      </c>
      <c r="J90" s="291">
        <v>0.014760147601476037</v>
      </c>
      <c r="K90" s="291">
        <v>0.019090909090909047</v>
      </c>
      <c r="L90" s="291">
        <v>0.017841213202497874</v>
      </c>
      <c r="M90" s="291">
        <v>0.01840490797546024</v>
      </c>
      <c r="N90" s="291">
        <v>0.0086</v>
      </c>
      <c r="O90" s="291">
        <v>0.03498293515358353</v>
      </c>
      <c r="P90" s="291">
        <v>0.07831821929101412</v>
      </c>
      <c r="Q90" s="337"/>
      <c r="R90" s="326"/>
    </row>
    <row r="91" spans="1:14" ht="12.75">
      <c r="A91" s="328"/>
      <c r="D91" s="339"/>
      <c r="I91" s="326"/>
      <c r="J91" s="326"/>
      <c r="K91" s="326"/>
      <c r="L91" s="326"/>
      <c r="M91" s="326"/>
      <c r="N91" s="326"/>
    </row>
    <row r="92" spans="1:16" ht="12.75">
      <c r="A92" s="328"/>
      <c r="D92" s="340"/>
      <c r="E92" s="340"/>
      <c r="F92" s="340"/>
      <c r="G92" s="340"/>
      <c r="H92" s="340"/>
      <c r="I92" s="340"/>
      <c r="J92" s="340"/>
      <c r="K92" s="340"/>
      <c r="L92" s="340"/>
      <c r="M92" s="340"/>
      <c r="N92" s="340"/>
      <c r="O92" s="340"/>
      <c r="P92" s="340"/>
    </row>
    <row r="93" spans="1:4" ht="12.75">
      <c r="A93" s="328"/>
      <c r="D93" s="284"/>
    </row>
    <row r="94" ht="12.75">
      <c r="A94" s="328"/>
    </row>
    <row r="95" spans="1:16" ht="12.75">
      <c r="A95" s="328"/>
      <c r="D95" s="326"/>
      <c r="E95" s="326"/>
      <c r="F95" s="326"/>
      <c r="G95" s="326"/>
      <c r="H95" s="326"/>
      <c r="I95" s="326"/>
      <c r="J95" s="326"/>
      <c r="K95" s="326"/>
      <c r="L95" s="326"/>
      <c r="M95" s="326"/>
      <c r="N95" s="326"/>
      <c r="O95" s="326"/>
      <c r="P95" s="326"/>
    </row>
    <row r="96" spans="1:16" ht="12.75">
      <c r="A96" s="328"/>
      <c r="D96" s="326"/>
      <c r="E96" s="326"/>
      <c r="F96" s="326"/>
      <c r="G96" s="326"/>
      <c r="H96" s="326"/>
      <c r="I96" s="326"/>
      <c r="J96" s="326"/>
      <c r="K96" s="326"/>
      <c r="L96" s="326"/>
      <c r="M96" s="326"/>
      <c r="N96" s="326"/>
      <c r="O96" s="326"/>
      <c r="P96" s="326"/>
    </row>
    <row r="97" spans="1:16" ht="12.75">
      <c r="A97" s="328"/>
      <c r="D97" s="326"/>
      <c r="E97" s="326"/>
      <c r="F97" s="326"/>
      <c r="G97" s="326"/>
      <c r="H97" s="326"/>
      <c r="I97" s="326"/>
      <c r="J97" s="326"/>
      <c r="K97" s="326"/>
      <c r="L97" s="326"/>
      <c r="M97" s="326"/>
      <c r="N97" s="326"/>
      <c r="O97" s="326"/>
      <c r="P97" s="326"/>
    </row>
    <row r="98" spans="4:16" ht="12.75">
      <c r="D98" s="326"/>
      <c r="E98" s="326"/>
      <c r="F98" s="326"/>
      <c r="G98" s="326"/>
      <c r="H98" s="326"/>
      <c r="I98" s="326"/>
      <c r="J98" s="326"/>
      <c r="K98" s="326"/>
      <c r="L98" s="326"/>
      <c r="M98" s="326"/>
      <c r="N98" s="326"/>
      <c r="O98" s="326"/>
      <c r="P98" s="326"/>
    </row>
    <row r="99" spans="4:16" ht="12.75">
      <c r="D99" s="326"/>
      <c r="E99" s="326"/>
      <c r="F99" s="326"/>
      <c r="G99" s="326"/>
      <c r="H99" s="326"/>
      <c r="I99" s="326"/>
      <c r="J99" s="326"/>
      <c r="K99" s="326"/>
      <c r="L99" s="326"/>
      <c r="M99" s="326"/>
      <c r="N99" s="326"/>
      <c r="O99" s="326"/>
      <c r="P99" s="326"/>
    </row>
    <row r="100" spans="4:16" ht="12.75">
      <c r="D100" s="326"/>
      <c r="E100" s="326"/>
      <c r="F100" s="326"/>
      <c r="G100" s="326"/>
      <c r="H100" s="326"/>
      <c r="I100" s="326"/>
      <c r="J100" s="326"/>
      <c r="K100" s="326"/>
      <c r="L100" s="326"/>
      <c r="M100" s="326"/>
      <c r="N100" s="326"/>
      <c r="O100" s="326"/>
      <c r="P100" s="326"/>
    </row>
    <row r="101" spans="4:16" ht="12.75">
      <c r="D101" s="326"/>
      <c r="E101" s="326"/>
      <c r="F101" s="326"/>
      <c r="G101" s="326"/>
      <c r="H101" s="326"/>
      <c r="I101" s="326"/>
      <c r="J101" s="326"/>
      <c r="K101" s="326"/>
      <c r="L101" s="326"/>
      <c r="M101" s="326"/>
      <c r="N101" s="326"/>
      <c r="O101" s="326"/>
      <c r="P101" s="326"/>
    </row>
    <row r="102" spans="4:16" ht="12.75">
      <c r="D102" s="326"/>
      <c r="E102" s="326"/>
      <c r="F102" s="326"/>
      <c r="G102" s="326"/>
      <c r="H102" s="326"/>
      <c r="I102" s="326"/>
      <c r="J102" s="326"/>
      <c r="K102" s="326"/>
      <c r="L102" s="326"/>
      <c r="M102" s="326"/>
      <c r="N102" s="326"/>
      <c r="O102" s="326"/>
      <c r="P102" s="326"/>
    </row>
    <row r="103" spans="4:16" ht="12.75">
      <c r="D103" s="326"/>
      <c r="E103" s="326"/>
      <c r="F103" s="326"/>
      <c r="G103" s="326"/>
      <c r="H103" s="326"/>
      <c r="I103" s="326"/>
      <c r="J103" s="326"/>
      <c r="K103" s="326"/>
      <c r="L103" s="326"/>
      <c r="M103" s="326"/>
      <c r="N103" s="326"/>
      <c r="O103" s="326"/>
      <c r="P103" s="326"/>
    </row>
    <row r="104" spans="4:16" ht="12.75">
      <c r="D104" s="326"/>
      <c r="E104" s="326"/>
      <c r="F104" s="326"/>
      <c r="G104" s="326"/>
      <c r="H104" s="326"/>
      <c r="I104" s="326"/>
      <c r="J104" s="326"/>
      <c r="K104" s="326"/>
      <c r="L104" s="326"/>
      <c r="M104" s="326"/>
      <c r="N104" s="326"/>
      <c r="O104" s="326"/>
      <c r="P104" s="326"/>
    </row>
    <row r="105" spans="4:16" ht="12.75">
      <c r="D105" s="326"/>
      <c r="E105" s="326"/>
      <c r="F105" s="326"/>
      <c r="G105" s="326"/>
      <c r="H105" s="326"/>
      <c r="I105" s="326"/>
      <c r="J105" s="326"/>
      <c r="K105" s="326"/>
      <c r="L105" s="326"/>
      <c r="M105" s="326"/>
      <c r="N105" s="326"/>
      <c r="O105" s="326"/>
      <c r="P105" s="326"/>
    </row>
    <row r="106" spans="4:16" ht="12.75">
      <c r="D106" s="326"/>
      <c r="E106" s="326"/>
      <c r="F106" s="326"/>
      <c r="G106" s="326"/>
      <c r="H106" s="326"/>
      <c r="I106" s="326"/>
      <c r="J106" s="326"/>
      <c r="K106" s="326"/>
      <c r="L106" s="326"/>
      <c r="M106" s="326"/>
      <c r="N106" s="326"/>
      <c r="O106" s="326"/>
      <c r="P106" s="326"/>
    </row>
    <row r="107" spans="4:16" ht="12.75">
      <c r="D107" s="326"/>
      <c r="E107" s="326"/>
      <c r="F107" s="326"/>
      <c r="G107" s="326"/>
      <c r="H107" s="326"/>
      <c r="I107" s="326"/>
      <c r="J107" s="326"/>
      <c r="K107" s="326"/>
      <c r="L107" s="326"/>
      <c r="M107" s="326"/>
      <c r="N107" s="326"/>
      <c r="O107" s="326"/>
      <c r="P107" s="326"/>
    </row>
    <row r="108" spans="4:16" ht="12.75">
      <c r="D108" s="326"/>
      <c r="E108" s="326"/>
      <c r="F108" s="326"/>
      <c r="G108" s="326"/>
      <c r="H108" s="326"/>
      <c r="I108" s="326"/>
      <c r="J108" s="326"/>
      <c r="K108" s="326"/>
      <c r="L108" s="326"/>
      <c r="M108" s="326"/>
      <c r="N108" s="326"/>
      <c r="O108" s="326"/>
      <c r="P108" s="326"/>
    </row>
    <row r="109" spans="4:16" ht="12.75">
      <c r="D109" s="326"/>
      <c r="E109" s="326"/>
      <c r="F109" s="326"/>
      <c r="G109" s="326"/>
      <c r="H109" s="326"/>
      <c r="I109" s="326"/>
      <c r="J109" s="326"/>
      <c r="K109" s="326"/>
      <c r="L109" s="326"/>
      <c r="M109" s="326"/>
      <c r="N109" s="326"/>
      <c r="O109" s="326"/>
      <c r="P109" s="326"/>
    </row>
    <row r="110" spans="4:16" ht="12.75">
      <c r="D110" s="326"/>
      <c r="E110" s="326"/>
      <c r="F110" s="326"/>
      <c r="G110" s="326"/>
      <c r="H110" s="326"/>
      <c r="I110" s="326"/>
      <c r="J110" s="326"/>
      <c r="K110" s="326"/>
      <c r="L110" s="326"/>
      <c r="M110" s="326"/>
      <c r="N110" s="326"/>
      <c r="O110" s="326"/>
      <c r="P110" s="326"/>
    </row>
    <row r="111" spans="4:16" ht="12.75">
      <c r="D111" s="326"/>
      <c r="E111" s="326"/>
      <c r="F111" s="326"/>
      <c r="G111" s="326"/>
      <c r="H111" s="326"/>
      <c r="I111" s="326"/>
      <c r="J111" s="326"/>
      <c r="K111" s="326"/>
      <c r="L111" s="326"/>
      <c r="M111" s="326"/>
      <c r="N111" s="326"/>
      <c r="O111" s="326"/>
      <c r="P111" s="326"/>
    </row>
    <row r="112" spans="4:16" ht="12.75">
      <c r="D112" s="326"/>
      <c r="E112" s="326"/>
      <c r="F112" s="326"/>
      <c r="G112" s="326"/>
      <c r="H112" s="326"/>
      <c r="I112" s="326"/>
      <c r="J112" s="326"/>
      <c r="K112" s="326"/>
      <c r="L112" s="326"/>
      <c r="M112" s="326"/>
      <c r="N112" s="326"/>
      <c r="O112" s="326"/>
      <c r="P112" s="326"/>
    </row>
    <row r="113" spans="4:16" ht="12.75">
      <c r="D113" s="326"/>
      <c r="E113" s="326"/>
      <c r="F113" s="326"/>
      <c r="G113" s="326"/>
      <c r="H113" s="326"/>
      <c r="I113" s="326"/>
      <c r="J113" s="326"/>
      <c r="K113" s="326"/>
      <c r="L113" s="326"/>
      <c r="M113" s="326"/>
      <c r="N113" s="326"/>
      <c r="O113" s="326"/>
      <c r="P113" s="326"/>
    </row>
    <row r="114" spans="4:16" ht="12.75">
      <c r="D114" s="326"/>
      <c r="E114" s="326"/>
      <c r="F114" s="326"/>
      <c r="G114" s="326"/>
      <c r="H114" s="326"/>
      <c r="I114" s="326"/>
      <c r="J114" s="326"/>
      <c r="K114" s="326"/>
      <c r="L114" s="326"/>
      <c r="M114" s="326"/>
      <c r="N114" s="326"/>
      <c r="O114" s="326"/>
      <c r="P114" s="326"/>
    </row>
    <row r="115" spans="4:16" ht="12.75">
      <c r="D115" s="326"/>
      <c r="E115" s="326"/>
      <c r="F115" s="326"/>
      <c r="G115" s="326"/>
      <c r="H115" s="326"/>
      <c r="I115" s="326"/>
      <c r="J115" s="326"/>
      <c r="K115" s="326"/>
      <c r="L115" s="326"/>
      <c r="M115" s="326"/>
      <c r="N115" s="326"/>
      <c r="O115" s="326"/>
      <c r="P115" s="326"/>
    </row>
    <row r="116" spans="4:16" ht="12.75">
      <c r="D116" s="326"/>
      <c r="E116" s="326"/>
      <c r="F116" s="326"/>
      <c r="G116" s="326"/>
      <c r="H116" s="326"/>
      <c r="I116" s="326"/>
      <c r="J116" s="326"/>
      <c r="K116" s="326"/>
      <c r="L116" s="326"/>
      <c r="M116" s="326"/>
      <c r="N116" s="326"/>
      <c r="O116" s="326"/>
      <c r="P116" s="326"/>
    </row>
    <row r="117" spans="4:16" ht="12.75">
      <c r="D117" s="326"/>
      <c r="E117" s="326"/>
      <c r="F117" s="326"/>
      <c r="G117" s="326"/>
      <c r="H117" s="326"/>
      <c r="I117" s="326"/>
      <c r="J117" s="326"/>
      <c r="K117" s="326"/>
      <c r="L117" s="326"/>
      <c r="M117" s="326"/>
      <c r="N117" s="326"/>
      <c r="O117" s="326"/>
      <c r="P117" s="326"/>
    </row>
    <row r="118" spans="4:16" ht="12.75">
      <c r="D118" s="326"/>
      <c r="E118" s="326"/>
      <c r="F118" s="326"/>
      <c r="G118" s="326"/>
      <c r="H118" s="326"/>
      <c r="I118" s="326"/>
      <c r="J118" s="326"/>
      <c r="K118" s="326"/>
      <c r="L118" s="326"/>
      <c r="M118" s="326"/>
      <c r="N118" s="326"/>
      <c r="O118" s="326"/>
      <c r="P118" s="326"/>
    </row>
    <row r="119" spans="4:16" ht="12.75">
      <c r="D119" s="326"/>
      <c r="E119" s="326"/>
      <c r="F119" s="326"/>
      <c r="G119" s="326"/>
      <c r="H119" s="326"/>
      <c r="I119" s="326"/>
      <c r="J119" s="326"/>
      <c r="K119" s="326"/>
      <c r="L119" s="326"/>
      <c r="M119" s="326"/>
      <c r="N119" s="326"/>
      <c r="O119" s="326"/>
      <c r="P119" s="326"/>
    </row>
    <row r="120" spans="4:16" ht="12.75">
      <c r="D120" s="326"/>
      <c r="E120" s="326"/>
      <c r="F120" s="326"/>
      <c r="G120" s="326"/>
      <c r="H120" s="326"/>
      <c r="I120" s="326"/>
      <c r="J120" s="326"/>
      <c r="K120" s="326"/>
      <c r="L120" s="326"/>
      <c r="M120" s="326"/>
      <c r="N120" s="326"/>
      <c r="O120" s="326"/>
      <c r="P120" s="326"/>
    </row>
    <row r="121" spans="4:16" ht="12.75">
      <c r="D121" s="326"/>
      <c r="E121" s="326"/>
      <c r="F121" s="326"/>
      <c r="G121" s="326"/>
      <c r="H121" s="326"/>
      <c r="I121" s="326"/>
      <c r="J121" s="326"/>
      <c r="K121" s="326"/>
      <c r="L121" s="326"/>
      <c r="M121" s="326"/>
      <c r="N121" s="326"/>
      <c r="O121" s="326"/>
      <c r="P121" s="326"/>
    </row>
    <row r="122" spans="4:16" ht="12.75">
      <c r="D122" s="326"/>
      <c r="E122" s="326"/>
      <c r="F122" s="326"/>
      <c r="G122" s="326"/>
      <c r="H122" s="326"/>
      <c r="I122" s="326"/>
      <c r="J122" s="326"/>
      <c r="K122" s="326"/>
      <c r="L122" s="326"/>
      <c r="M122" s="326"/>
      <c r="N122" s="326"/>
      <c r="O122" s="326"/>
      <c r="P122" s="326"/>
    </row>
    <row r="123" spans="4:16" ht="12.75">
      <c r="D123" s="326"/>
      <c r="E123" s="326"/>
      <c r="F123" s="326"/>
      <c r="G123" s="326"/>
      <c r="H123" s="326"/>
      <c r="I123" s="326"/>
      <c r="J123" s="326"/>
      <c r="K123" s="326"/>
      <c r="L123" s="326"/>
      <c r="M123" s="326"/>
      <c r="N123" s="326"/>
      <c r="O123" s="326"/>
      <c r="P123" s="326"/>
    </row>
    <row r="124" spans="4:16" ht="12.75">
      <c r="D124" s="326"/>
      <c r="E124" s="326"/>
      <c r="F124" s="326"/>
      <c r="G124" s="326"/>
      <c r="H124" s="326"/>
      <c r="I124" s="326"/>
      <c r="J124" s="326"/>
      <c r="K124" s="326"/>
      <c r="L124" s="326"/>
      <c r="M124" s="326"/>
      <c r="N124" s="326"/>
      <c r="O124" s="326"/>
      <c r="P124" s="326"/>
    </row>
    <row r="125" spans="4:16" ht="12.75">
      <c r="D125" s="326"/>
      <c r="E125" s="326"/>
      <c r="F125" s="326"/>
      <c r="G125" s="326"/>
      <c r="H125" s="326"/>
      <c r="I125" s="326"/>
      <c r="J125" s="326"/>
      <c r="K125" s="326"/>
      <c r="L125" s="326"/>
      <c r="M125" s="326"/>
      <c r="N125" s="326"/>
      <c r="O125" s="326"/>
      <c r="P125" s="326"/>
    </row>
    <row r="126" spans="4:16" ht="12.75">
      <c r="D126" s="326"/>
      <c r="E126" s="326"/>
      <c r="F126" s="326"/>
      <c r="G126" s="326"/>
      <c r="H126" s="326"/>
      <c r="I126" s="326"/>
      <c r="J126" s="326"/>
      <c r="K126" s="326"/>
      <c r="L126" s="326"/>
      <c r="M126" s="326"/>
      <c r="N126" s="326"/>
      <c r="O126" s="326"/>
      <c r="P126" s="326"/>
    </row>
    <row r="127" spans="4:16" ht="12.75">
      <c r="D127" s="326"/>
      <c r="E127" s="326"/>
      <c r="F127" s="326"/>
      <c r="G127" s="326"/>
      <c r="H127" s="326"/>
      <c r="I127" s="326"/>
      <c r="J127" s="326"/>
      <c r="K127" s="326"/>
      <c r="L127" s="326"/>
      <c r="M127" s="326"/>
      <c r="N127" s="326"/>
      <c r="O127" s="326"/>
      <c r="P127" s="326"/>
    </row>
    <row r="128" spans="4:16" ht="12.75">
      <c r="D128" s="326"/>
      <c r="E128" s="326"/>
      <c r="F128" s="326"/>
      <c r="G128" s="326"/>
      <c r="H128" s="326"/>
      <c r="I128" s="326"/>
      <c r="J128" s="326"/>
      <c r="K128" s="326"/>
      <c r="L128" s="326"/>
      <c r="M128" s="326"/>
      <c r="N128" s="326"/>
      <c r="O128" s="326"/>
      <c r="P128" s="326"/>
    </row>
    <row r="129" spans="4:16" ht="12.75">
      <c r="D129" s="326"/>
      <c r="E129" s="326"/>
      <c r="F129" s="326"/>
      <c r="G129" s="326"/>
      <c r="H129" s="326"/>
      <c r="I129" s="326"/>
      <c r="J129" s="326"/>
      <c r="K129" s="326"/>
      <c r="L129" s="326"/>
      <c r="M129" s="326"/>
      <c r="N129" s="326"/>
      <c r="O129" s="326"/>
      <c r="P129" s="326"/>
    </row>
    <row r="130" spans="4:16" ht="12.75">
      <c r="D130" s="326"/>
      <c r="E130" s="326"/>
      <c r="F130" s="326"/>
      <c r="G130" s="326"/>
      <c r="H130" s="326"/>
      <c r="I130" s="326"/>
      <c r="J130" s="326"/>
      <c r="K130" s="326"/>
      <c r="L130" s="326"/>
      <c r="M130" s="326"/>
      <c r="N130" s="326"/>
      <c r="O130" s="326"/>
      <c r="P130" s="326"/>
    </row>
    <row r="131" spans="4:16" ht="12.75">
      <c r="D131" s="326"/>
      <c r="E131" s="326"/>
      <c r="F131" s="326"/>
      <c r="G131" s="326"/>
      <c r="H131" s="326"/>
      <c r="I131" s="326"/>
      <c r="J131" s="326"/>
      <c r="K131" s="326"/>
      <c r="L131" s="326"/>
      <c r="M131" s="326"/>
      <c r="N131" s="326"/>
      <c r="O131" s="326"/>
      <c r="P131" s="326"/>
    </row>
    <row r="132" spans="4:16" ht="12.75">
      <c r="D132" s="326"/>
      <c r="E132" s="326"/>
      <c r="F132" s="326"/>
      <c r="G132" s="326"/>
      <c r="H132" s="326"/>
      <c r="I132" s="326"/>
      <c r="J132" s="326"/>
      <c r="K132" s="326"/>
      <c r="L132" s="326"/>
      <c r="M132" s="326"/>
      <c r="N132" s="326"/>
      <c r="O132" s="326"/>
      <c r="P132" s="326"/>
    </row>
    <row r="133" spans="4:16" ht="12.75">
      <c r="D133" s="326"/>
      <c r="E133" s="326"/>
      <c r="F133" s="326"/>
      <c r="G133" s="326"/>
      <c r="H133" s="326"/>
      <c r="I133" s="326"/>
      <c r="J133" s="326"/>
      <c r="K133" s="326"/>
      <c r="L133" s="326"/>
      <c r="M133" s="326"/>
      <c r="N133" s="326"/>
      <c r="O133" s="326"/>
      <c r="P133" s="326"/>
    </row>
    <row r="134" spans="4:16" ht="12.75">
      <c r="D134" s="326"/>
      <c r="E134" s="326"/>
      <c r="F134" s="326"/>
      <c r="G134" s="326"/>
      <c r="H134" s="326"/>
      <c r="I134" s="326"/>
      <c r="J134" s="326"/>
      <c r="K134" s="326"/>
      <c r="L134" s="326"/>
      <c r="M134" s="326"/>
      <c r="N134" s="326"/>
      <c r="O134" s="326"/>
      <c r="P134" s="326"/>
    </row>
    <row r="135" spans="4:16" ht="12.75">
      <c r="D135" s="326"/>
      <c r="E135" s="326"/>
      <c r="F135" s="326"/>
      <c r="G135" s="326"/>
      <c r="H135" s="326"/>
      <c r="I135" s="326"/>
      <c r="J135" s="326"/>
      <c r="K135" s="326"/>
      <c r="L135" s="326"/>
      <c r="M135" s="326"/>
      <c r="N135" s="326"/>
      <c r="O135" s="326"/>
      <c r="P135" s="326"/>
    </row>
    <row r="136" spans="4:16" ht="12.75">
      <c r="D136" s="326"/>
      <c r="E136" s="326"/>
      <c r="F136" s="326"/>
      <c r="G136" s="326"/>
      <c r="H136" s="326"/>
      <c r="I136" s="326"/>
      <c r="J136" s="326"/>
      <c r="K136" s="326"/>
      <c r="L136" s="326"/>
      <c r="M136" s="326"/>
      <c r="N136" s="326"/>
      <c r="O136" s="326"/>
      <c r="P136" s="326"/>
    </row>
    <row r="137" spans="4:16" ht="12.75">
      <c r="D137" s="326"/>
      <c r="E137" s="326"/>
      <c r="F137" s="326"/>
      <c r="G137" s="326"/>
      <c r="H137" s="326"/>
      <c r="I137" s="326"/>
      <c r="J137" s="326"/>
      <c r="K137" s="326"/>
      <c r="L137" s="326"/>
      <c r="M137" s="326"/>
      <c r="N137" s="326"/>
      <c r="O137" s="326"/>
      <c r="P137" s="326"/>
    </row>
    <row r="138" spans="4:16" ht="12.75">
      <c r="D138" s="326"/>
      <c r="E138" s="326"/>
      <c r="F138" s="326"/>
      <c r="G138" s="326"/>
      <c r="H138" s="326"/>
      <c r="I138" s="326"/>
      <c r="J138" s="326"/>
      <c r="K138" s="326"/>
      <c r="L138" s="326"/>
      <c r="M138" s="326"/>
      <c r="N138" s="326"/>
      <c r="O138" s="326"/>
      <c r="P138" s="326"/>
    </row>
    <row r="139" spans="4:16" ht="12.75">
      <c r="D139" s="326"/>
      <c r="E139" s="326"/>
      <c r="F139" s="326"/>
      <c r="G139" s="326"/>
      <c r="H139" s="326"/>
      <c r="I139" s="326"/>
      <c r="J139" s="326"/>
      <c r="K139" s="326"/>
      <c r="L139" s="326"/>
      <c r="M139" s="326"/>
      <c r="N139" s="326"/>
      <c r="O139" s="326"/>
      <c r="P139" s="326"/>
    </row>
    <row r="140" spans="4:16" ht="12.75">
      <c r="D140" s="326"/>
      <c r="E140" s="326"/>
      <c r="F140" s="326"/>
      <c r="G140" s="326"/>
      <c r="H140" s="326"/>
      <c r="I140" s="326"/>
      <c r="J140" s="326"/>
      <c r="K140" s="326"/>
      <c r="L140" s="326"/>
      <c r="M140" s="326"/>
      <c r="N140" s="326"/>
      <c r="O140" s="326"/>
      <c r="P140" s="326"/>
    </row>
    <row r="141" spans="4:16" ht="12.75">
      <c r="D141" s="326"/>
      <c r="E141" s="326"/>
      <c r="F141" s="326"/>
      <c r="G141" s="326"/>
      <c r="H141" s="326"/>
      <c r="I141" s="326"/>
      <c r="J141" s="326"/>
      <c r="K141" s="326"/>
      <c r="L141" s="326"/>
      <c r="M141" s="326"/>
      <c r="N141" s="326"/>
      <c r="O141" s="326"/>
      <c r="P141" s="326"/>
    </row>
    <row r="142" spans="4:16" ht="12.75">
      <c r="D142" s="326"/>
      <c r="E142" s="326"/>
      <c r="F142" s="326"/>
      <c r="G142" s="326"/>
      <c r="H142" s="326"/>
      <c r="I142" s="326"/>
      <c r="J142" s="326"/>
      <c r="K142" s="326"/>
      <c r="L142" s="326"/>
      <c r="M142" s="326"/>
      <c r="N142" s="326"/>
      <c r="O142" s="326"/>
      <c r="P142" s="326"/>
    </row>
    <row r="143" spans="4:16" ht="12.75">
      <c r="D143" s="326"/>
      <c r="E143" s="326"/>
      <c r="F143" s="326"/>
      <c r="G143" s="326"/>
      <c r="H143" s="326"/>
      <c r="I143" s="326"/>
      <c r="J143" s="326"/>
      <c r="K143" s="326"/>
      <c r="L143" s="326"/>
      <c r="M143" s="326"/>
      <c r="N143" s="326"/>
      <c r="O143" s="326"/>
      <c r="P143" s="326"/>
    </row>
    <row r="144" spans="4:16" ht="12.75">
      <c r="D144" s="326"/>
      <c r="E144" s="326"/>
      <c r="F144" s="326"/>
      <c r="G144" s="326"/>
      <c r="H144" s="326"/>
      <c r="I144" s="326"/>
      <c r="J144" s="326"/>
      <c r="K144" s="326"/>
      <c r="L144" s="326"/>
      <c r="M144" s="326"/>
      <c r="N144" s="326"/>
      <c r="O144" s="326"/>
      <c r="P144" s="326"/>
    </row>
    <row r="145" spans="4:16" ht="12.75">
      <c r="D145" s="326"/>
      <c r="E145" s="326"/>
      <c r="F145" s="326"/>
      <c r="G145" s="326"/>
      <c r="H145" s="326"/>
      <c r="I145" s="326"/>
      <c r="J145" s="326"/>
      <c r="K145" s="326"/>
      <c r="L145" s="326"/>
      <c r="M145" s="326"/>
      <c r="N145" s="326"/>
      <c r="O145" s="326"/>
      <c r="P145" s="326"/>
    </row>
    <row r="146" spans="4:16" ht="12.75">
      <c r="D146" s="326"/>
      <c r="E146" s="326"/>
      <c r="F146" s="326"/>
      <c r="G146" s="326"/>
      <c r="H146" s="326"/>
      <c r="I146" s="326"/>
      <c r="J146" s="326"/>
      <c r="K146" s="326"/>
      <c r="L146" s="326"/>
      <c r="M146" s="326"/>
      <c r="N146" s="326"/>
      <c r="O146" s="326"/>
      <c r="P146" s="326"/>
    </row>
    <row r="147" spans="4:16" ht="12.75">
      <c r="D147" s="326"/>
      <c r="E147" s="326"/>
      <c r="F147" s="326"/>
      <c r="G147" s="326"/>
      <c r="H147" s="326"/>
      <c r="I147" s="326"/>
      <c r="J147" s="326"/>
      <c r="K147" s="326"/>
      <c r="L147" s="326"/>
      <c r="M147" s="326"/>
      <c r="N147" s="326"/>
      <c r="O147" s="326"/>
      <c r="P147" s="326"/>
    </row>
    <row r="148" spans="4:16" ht="12.75">
      <c r="D148" s="326"/>
      <c r="E148" s="326"/>
      <c r="F148" s="326"/>
      <c r="G148" s="326"/>
      <c r="H148" s="326"/>
      <c r="I148" s="326"/>
      <c r="J148" s="326"/>
      <c r="K148" s="326"/>
      <c r="L148" s="326"/>
      <c r="M148" s="326"/>
      <c r="N148" s="326"/>
      <c r="O148" s="326"/>
      <c r="P148" s="326"/>
    </row>
    <row r="149" spans="4:16" ht="12.75">
      <c r="D149" s="326"/>
      <c r="E149" s="326"/>
      <c r="F149" s="326"/>
      <c r="G149" s="326"/>
      <c r="H149" s="326"/>
      <c r="I149" s="326"/>
      <c r="J149" s="326"/>
      <c r="K149" s="326"/>
      <c r="L149" s="326"/>
      <c r="M149" s="326"/>
      <c r="N149" s="326"/>
      <c r="O149" s="326"/>
      <c r="P149" s="326"/>
    </row>
    <row r="150" spans="4:16" ht="12.75">
      <c r="D150" s="326"/>
      <c r="E150" s="326"/>
      <c r="F150" s="326"/>
      <c r="G150" s="326"/>
      <c r="H150" s="326"/>
      <c r="I150" s="326"/>
      <c r="J150" s="326"/>
      <c r="K150" s="326"/>
      <c r="L150" s="326"/>
      <c r="M150" s="326"/>
      <c r="N150" s="326"/>
      <c r="O150" s="326"/>
      <c r="P150" s="326"/>
    </row>
    <row r="151" spans="4:16" ht="12.75">
      <c r="D151" s="326"/>
      <c r="E151" s="326"/>
      <c r="F151" s="326"/>
      <c r="G151" s="326"/>
      <c r="H151" s="326"/>
      <c r="I151" s="326"/>
      <c r="J151" s="326"/>
      <c r="K151" s="326"/>
      <c r="L151" s="326"/>
      <c r="M151" s="326"/>
      <c r="N151" s="326"/>
      <c r="O151" s="326"/>
      <c r="P151" s="326"/>
    </row>
    <row r="152" spans="4:16" ht="12.75">
      <c r="D152" s="326"/>
      <c r="E152" s="326"/>
      <c r="F152" s="326"/>
      <c r="G152" s="326"/>
      <c r="H152" s="326"/>
      <c r="I152" s="326"/>
      <c r="J152" s="326"/>
      <c r="K152" s="326"/>
      <c r="L152" s="326"/>
      <c r="M152" s="326"/>
      <c r="N152" s="326"/>
      <c r="O152" s="326"/>
      <c r="P152" s="326"/>
    </row>
    <row r="153" spans="4:16" ht="12.75">
      <c r="D153" s="326"/>
      <c r="E153" s="326"/>
      <c r="F153" s="326"/>
      <c r="G153" s="326"/>
      <c r="H153" s="326"/>
      <c r="I153" s="326"/>
      <c r="J153" s="326"/>
      <c r="K153" s="326"/>
      <c r="L153" s="326"/>
      <c r="M153" s="326"/>
      <c r="N153" s="326"/>
      <c r="O153" s="326"/>
      <c r="P153" s="326"/>
    </row>
    <row r="154" spans="4:16" ht="12.75">
      <c r="D154" s="326"/>
      <c r="E154" s="326"/>
      <c r="F154" s="326"/>
      <c r="G154" s="326"/>
      <c r="H154" s="326"/>
      <c r="I154" s="326"/>
      <c r="J154" s="326"/>
      <c r="K154" s="326"/>
      <c r="L154" s="326"/>
      <c r="M154" s="326"/>
      <c r="N154" s="326"/>
      <c r="O154" s="326"/>
      <c r="P154" s="326"/>
    </row>
    <row r="155" spans="4:16" ht="12.75">
      <c r="D155" s="326"/>
      <c r="E155" s="326"/>
      <c r="F155" s="326"/>
      <c r="G155" s="326"/>
      <c r="H155" s="326"/>
      <c r="I155" s="326"/>
      <c r="J155" s="326"/>
      <c r="K155" s="326"/>
      <c r="L155" s="326"/>
      <c r="M155" s="326"/>
      <c r="N155" s="326"/>
      <c r="O155" s="326"/>
      <c r="P155" s="326"/>
    </row>
    <row r="156" spans="4:16" ht="12.75">
      <c r="D156" s="326"/>
      <c r="E156" s="326"/>
      <c r="F156" s="326"/>
      <c r="G156" s="326"/>
      <c r="H156" s="326"/>
      <c r="I156" s="326"/>
      <c r="J156" s="326"/>
      <c r="K156" s="326"/>
      <c r="L156" s="326"/>
      <c r="M156" s="326"/>
      <c r="N156" s="326"/>
      <c r="O156" s="326"/>
      <c r="P156" s="326"/>
    </row>
    <row r="157" spans="4:16" ht="12.75">
      <c r="D157" s="326"/>
      <c r="E157" s="326"/>
      <c r="F157" s="326"/>
      <c r="G157" s="326"/>
      <c r="H157" s="326"/>
      <c r="I157" s="326"/>
      <c r="J157" s="326"/>
      <c r="K157" s="326"/>
      <c r="L157" s="326"/>
      <c r="M157" s="326"/>
      <c r="N157" s="326"/>
      <c r="O157" s="326"/>
      <c r="P157" s="326"/>
    </row>
    <row r="158" spans="4:16" ht="12.75">
      <c r="D158" s="326"/>
      <c r="E158" s="326"/>
      <c r="F158" s="326"/>
      <c r="G158" s="326"/>
      <c r="H158" s="326"/>
      <c r="I158" s="326"/>
      <c r="J158" s="326"/>
      <c r="K158" s="326"/>
      <c r="L158" s="326"/>
      <c r="M158" s="326"/>
      <c r="N158" s="326"/>
      <c r="O158" s="326"/>
      <c r="P158" s="326"/>
    </row>
    <row r="159" spans="4:16" ht="12.75">
      <c r="D159" s="326"/>
      <c r="E159" s="326"/>
      <c r="F159" s="326"/>
      <c r="G159" s="326"/>
      <c r="H159" s="326"/>
      <c r="I159" s="326"/>
      <c r="J159" s="326"/>
      <c r="K159" s="326"/>
      <c r="L159" s="326"/>
      <c r="M159" s="326"/>
      <c r="N159" s="326"/>
      <c r="O159" s="326"/>
      <c r="P159" s="326"/>
    </row>
    <row r="160" spans="4:16" ht="12.75">
      <c r="D160" s="326"/>
      <c r="E160" s="326"/>
      <c r="F160" s="326"/>
      <c r="G160" s="326"/>
      <c r="H160" s="326"/>
      <c r="I160" s="326"/>
      <c r="J160" s="326"/>
      <c r="K160" s="326"/>
      <c r="L160" s="326"/>
      <c r="M160" s="326"/>
      <c r="N160" s="326"/>
      <c r="O160" s="326"/>
      <c r="P160" s="326"/>
    </row>
    <row r="161" spans="4:16" ht="12.75">
      <c r="D161" s="326"/>
      <c r="E161" s="326"/>
      <c r="F161" s="326"/>
      <c r="G161" s="326"/>
      <c r="H161" s="326"/>
      <c r="I161" s="326"/>
      <c r="J161" s="326"/>
      <c r="K161" s="326"/>
      <c r="L161" s="326"/>
      <c r="M161" s="326"/>
      <c r="N161" s="326"/>
      <c r="O161" s="326"/>
      <c r="P161" s="326"/>
    </row>
    <row r="162" spans="4:16" ht="12.75">
      <c r="D162" s="326"/>
      <c r="E162" s="326"/>
      <c r="F162" s="326"/>
      <c r="G162" s="326"/>
      <c r="H162" s="326"/>
      <c r="I162" s="326"/>
      <c r="J162" s="326"/>
      <c r="K162" s="326"/>
      <c r="L162" s="326"/>
      <c r="M162" s="326"/>
      <c r="N162" s="326"/>
      <c r="O162" s="326"/>
      <c r="P162" s="326"/>
    </row>
    <row r="163" spans="4:16" ht="12.75">
      <c r="D163" s="326"/>
      <c r="E163" s="326"/>
      <c r="F163" s="326"/>
      <c r="G163" s="326"/>
      <c r="H163" s="326"/>
      <c r="I163" s="326"/>
      <c r="J163" s="326"/>
      <c r="K163" s="326"/>
      <c r="L163" s="326"/>
      <c r="M163" s="326"/>
      <c r="N163" s="326"/>
      <c r="O163" s="326"/>
      <c r="P163" s="326"/>
    </row>
    <row r="164" spans="4:16" ht="12.75">
      <c r="D164" s="326"/>
      <c r="E164" s="326"/>
      <c r="F164" s="326"/>
      <c r="G164" s="326"/>
      <c r="H164" s="326"/>
      <c r="I164" s="326"/>
      <c r="J164" s="326"/>
      <c r="K164" s="326"/>
      <c r="L164" s="326"/>
      <c r="M164" s="326"/>
      <c r="N164" s="326"/>
      <c r="O164" s="326"/>
      <c r="P164" s="326"/>
    </row>
    <row r="165" spans="4:16" ht="12.75">
      <c r="D165" s="326"/>
      <c r="E165" s="326"/>
      <c r="F165" s="326"/>
      <c r="G165" s="326"/>
      <c r="H165" s="326"/>
      <c r="I165" s="326"/>
      <c r="J165" s="326"/>
      <c r="K165" s="326"/>
      <c r="L165" s="326"/>
      <c r="M165" s="326"/>
      <c r="N165" s="326"/>
      <c r="O165" s="326"/>
      <c r="P165" s="326"/>
    </row>
    <row r="166" spans="4:16" ht="12.75">
      <c r="D166" s="326"/>
      <c r="E166" s="326"/>
      <c r="F166" s="326"/>
      <c r="G166" s="326"/>
      <c r="H166" s="326"/>
      <c r="I166" s="326"/>
      <c r="J166" s="326"/>
      <c r="K166" s="326"/>
      <c r="L166" s="326"/>
      <c r="M166" s="326"/>
      <c r="N166" s="326"/>
      <c r="O166" s="326"/>
      <c r="P166" s="326"/>
    </row>
    <row r="167" spans="4:16" ht="12.75">
      <c r="D167" s="326"/>
      <c r="E167" s="326"/>
      <c r="F167" s="326"/>
      <c r="G167" s="326"/>
      <c r="H167" s="326"/>
      <c r="I167" s="326"/>
      <c r="J167" s="326"/>
      <c r="K167" s="326"/>
      <c r="L167" s="326"/>
      <c r="M167" s="326"/>
      <c r="N167" s="326"/>
      <c r="O167" s="326"/>
      <c r="P167" s="326"/>
    </row>
    <row r="168" spans="4:16" ht="12.75">
      <c r="D168" s="326"/>
      <c r="E168" s="326"/>
      <c r="F168" s="326"/>
      <c r="G168" s="326"/>
      <c r="H168" s="326"/>
      <c r="I168" s="326"/>
      <c r="J168" s="326"/>
      <c r="K168" s="326"/>
      <c r="L168" s="326"/>
      <c r="M168" s="326"/>
      <c r="N168" s="326"/>
      <c r="O168" s="326"/>
      <c r="P168" s="326"/>
    </row>
    <row r="169" spans="4:16" ht="12.75">
      <c r="D169" s="326"/>
      <c r="E169" s="326"/>
      <c r="F169" s="326"/>
      <c r="G169" s="326"/>
      <c r="H169" s="326"/>
      <c r="I169" s="326"/>
      <c r="J169" s="326"/>
      <c r="K169" s="326"/>
      <c r="L169" s="326"/>
      <c r="M169" s="326"/>
      <c r="N169" s="326"/>
      <c r="O169" s="326"/>
      <c r="P169" s="326"/>
    </row>
    <row r="170" spans="4:16" ht="12.75">
      <c r="D170" s="326"/>
      <c r="E170" s="326"/>
      <c r="F170" s="326"/>
      <c r="G170" s="326"/>
      <c r="H170" s="326"/>
      <c r="I170" s="326"/>
      <c r="J170" s="326"/>
      <c r="K170" s="326"/>
      <c r="L170" s="326"/>
      <c r="M170" s="326"/>
      <c r="N170" s="326"/>
      <c r="O170" s="326"/>
      <c r="P170" s="326"/>
    </row>
    <row r="171" spans="4:16" ht="12.75">
      <c r="D171" s="326"/>
      <c r="E171" s="326"/>
      <c r="F171" s="326"/>
      <c r="G171" s="326"/>
      <c r="H171" s="326"/>
      <c r="I171" s="326"/>
      <c r="J171" s="326"/>
      <c r="K171" s="326"/>
      <c r="L171" s="326"/>
      <c r="M171" s="326"/>
      <c r="N171" s="326"/>
      <c r="O171" s="326"/>
      <c r="P171" s="326"/>
    </row>
    <row r="172" spans="4:16" ht="12.75">
      <c r="D172" s="326"/>
      <c r="E172" s="326"/>
      <c r="F172" s="326"/>
      <c r="G172" s="326"/>
      <c r="H172" s="326"/>
      <c r="I172" s="326"/>
      <c r="J172" s="326"/>
      <c r="K172" s="326"/>
      <c r="L172" s="326"/>
      <c r="M172" s="326"/>
      <c r="N172" s="326"/>
      <c r="O172" s="326"/>
      <c r="P172" s="326"/>
    </row>
    <row r="173" spans="4:16" ht="12.75">
      <c r="D173" s="326"/>
      <c r="E173" s="326"/>
      <c r="F173" s="326"/>
      <c r="G173" s="326"/>
      <c r="H173" s="326"/>
      <c r="I173" s="326"/>
      <c r="J173" s="326"/>
      <c r="K173" s="326"/>
      <c r="L173" s="326"/>
      <c r="M173" s="326"/>
      <c r="N173" s="326"/>
      <c r="O173" s="326"/>
      <c r="P173" s="326"/>
    </row>
    <row r="174" spans="4:16" ht="12.75">
      <c r="D174" s="326"/>
      <c r="E174" s="326"/>
      <c r="F174" s="326"/>
      <c r="G174" s="326"/>
      <c r="H174" s="326"/>
      <c r="I174" s="326"/>
      <c r="J174" s="326"/>
      <c r="K174" s="326"/>
      <c r="L174" s="326"/>
      <c r="M174" s="326"/>
      <c r="N174" s="326"/>
      <c r="O174" s="326"/>
      <c r="P174" s="326"/>
    </row>
    <row r="175" spans="4:16" ht="12.75">
      <c r="D175" s="326"/>
      <c r="E175" s="326"/>
      <c r="F175" s="326"/>
      <c r="G175" s="326"/>
      <c r="H175" s="326"/>
      <c r="I175" s="326"/>
      <c r="J175" s="326"/>
      <c r="K175" s="326"/>
      <c r="L175" s="326"/>
      <c r="M175" s="326"/>
      <c r="N175" s="326"/>
      <c r="O175" s="326"/>
      <c r="P175" s="326"/>
    </row>
    <row r="176" spans="4:16" ht="12.75">
      <c r="D176" s="326"/>
      <c r="E176" s="326"/>
      <c r="F176" s="326"/>
      <c r="G176" s="326"/>
      <c r="H176" s="326"/>
      <c r="I176" s="326"/>
      <c r="J176" s="326"/>
      <c r="K176" s="326"/>
      <c r="L176" s="326"/>
      <c r="M176" s="326"/>
      <c r="N176" s="326"/>
      <c r="O176" s="326"/>
      <c r="P176" s="326"/>
    </row>
    <row r="177" spans="4:16" ht="12.75">
      <c r="D177" s="326"/>
      <c r="E177" s="326"/>
      <c r="F177" s="326"/>
      <c r="G177" s="326"/>
      <c r="H177" s="326"/>
      <c r="I177" s="326"/>
      <c r="J177" s="326"/>
      <c r="K177" s="326"/>
      <c r="L177" s="326"/>
      <c r="M177" s="326"/>
      <c r="N177" s="326"/>
      <c r="O177" s="326"/>
      <c r="P177" s="326"/>
    </row>
    <row r="178" spans="4:16" ht="12.75">
      <c r="D178" s="326"/>
      <c r="E178" s="326"/>
      <c r="F178" s="326"/>
      <c r="G178" s="326"/>
      <c r="H178" s="326"/>
      <c r="I178" s="326"/>
      <c r="J178" s="326"/>
      <c r="K178" s="326"/>
      <c r="L178" s="326"/>
      <c r="M178" s="326"/>
      <c r="N178" s="326"/>
      <c r="O178" s="326"/>
      <c r="P178" s="326"/>
    </row>
    <row r="179" spans="4:16" ht="12.75">
      <c r="D179" s="326"/>
      <c r="E179" s="326"/>
      <c r="F179" s="326"/>
      <c r="G179" s="326"/>
      <c r="H179" s="326"/>
      <c r="I179" s="326"/>
      <c r="J179" s="326"/>
      <c r="K179" s="326"/>
      <c r="L179" s="326"/>
      <c r="M179" s="326"/>
      <c r="N179" s="326"/>
      <c r="O179" s="326"/>
      <c r="P179" s="326"/>
    </row>
    <row r="180" spans="4:16" ht="12.75">
      <c r="D180" s="326"/>
      <c r="E180" s="326"/>
      <c r="F180" s="326"/>
      <c r="G180" s="326"/>
      <c r="H180" s="326"/>
      <c r="I180" s="326"/>
      <c r="J180" s="326"/>
      <c r="K180" s="326"/>
      <c r="L180" s="326"/>
      <c r="M180" s="326"/>
      <c r="N180" s="326"/>
      <c r="O180" s="326"/>
      <c r="P180" s="326"/>
    </row>
    <row r="181" spans="4:16" ht="12.75">
      <c r="D181" s="326"/>
      <c r="E181" s="326"/>
      <c r="F181" s="326"/>
      <c r="G181" s="326"/>
      <c r="H181" s="326"/>
      <c r="I181" s="326"/>
      <c r="J181" s="326"/>
      <c r="K181" s="326"/>
      <c r="L181" s="326"/>
      <c r="M181" s="326"/>
      <c r="N181" s="326"/>
      <c r="O181" s="326"/>
      <c r="P181" s="326"/>
    </row>
    <row r="182" spans="4:16" ht="12.75">
      <c r="D182" s="326"/>
      <c r="E182" s="326"/>
      <c r="F182" s="326"/>
      <c r="G182" s="326"/>
      <c r="H182" s="326"/>
      <c r="I182" s="326"/>
      <c r="J182" s="326"/>
      <c r="K182" s="326"/>
      <c r="L182" s="326"/>
      <c r="M182" s="326"/>
      <c r="N182" s="326"/>
      <c r="O182" s="326"/>
      <c r="P182" s="326"/>
    </row>
    <row r="183" spans="4:16" ht="12.75">
      <c r="D183" s="326"/>
      <c r="E183" s="326"/>
      <c r="F183" s="326"/>
      <c r="G183" s="326"/>
      <c r="H183" s="326"/>
      <c r="I183" s="326"/>
      <c r="J183" s="326"/>
      <c r="K183" s="326"/>
      <c r="L183" s="326"/>
      <c r="M183" s="326"/>
      <c r="N183" s="326"/>
      <c r="O183" s="326"/>
      <c r="P183" s="326"/>
    </row>
    <row r="184" spans="4:16" ht="12.75">
      <c r="D184" s="326"/>
      <c r="E184" s="326"/>
      <c r="F184" s="326"/>
      <c r="G184" s="326"/>
      <c r="H184" s="326"/>
      <c r="I184" s="326"/>
      <c r="J184" s="326"/>
      <c r="K184" s="326"/>
      <c r="L184" s="326"/>
      <c r="M184" s="326"/>
      <c r="N184" s="326"/>
      <c r="O184" s="326"/>
      <c r="P184" s="326"/>
    </row>
    <row r="185" spans="4:16" ht="12.75">
      <c r="D185" s="326"/>
      <c r="E185" s="326"/>
      <c r="F185" s="326"/>
      <c r="G185" s="326"/>
      <c r="H185" s="326"/>
      <c r="I185" s="326"/>
      <c r="J185" s="326"/>
      <c r="K185" s="326"/>
      <c r="L185" s="326"/>
      <c r="M185" s="326"/>
      <c r="N185" s="326"/>
      <c r="O185" s="326"/>
      <c r="P185" s="326"/>
    </row>
    <row r="186" spans="4:16" ht="12.75">
      <c r="D186" s="326"/>
      <c r="E186" s="326"/>
      <c r="F186" s="326"/>
      <c r="G186" s="326"/>
      <c r="H186" s="326"/>
      <c r="I186" s="326"/>
      <c r="J186" s="326"/>
      <c r="K186" s="326"/>
      <c r="L186" s="326"/>
      <c r="M186" s="326"/>
      <c r="N186" s="326"/>
      <c r="O186" s="326"/>
      <c r="P186" s="326"/>
    </row>
    <row r="187" spans="4:16" ht="12.75">
      <c r="D187" s="326"/>
      <c r="E187" s="326"/>
      <c r="F187" s="326"/>
      <c r="G187" s="326"/>
      <c r="H187" s="326"/>
      <c r="I187" s="326"/>
      <c r="J187" s="326"/>
      <c r="K187" s="326"/>
      <c r="L187" s="326"/>
      <c r="M187" s="326"/>
      <c r="N187" s="326"/>
      <c r="O187" s="326"/>
      <c r="P187" s="326"/>
    </row>
    <row r="188" spans="4:16" ht="12.75">
      <c r="D188" s="326"/>
      <c r="E188" s="326"/>
      <c r="F188" s="326"/>
      <c r="G188" s="326"/>
      <c r="H188" s="326"/>
      <c r="I188" s="326"/>
      <c r="J188" s="326"/>
      <c r="K188" s="326"/>
      <c r="L188" s="326"/>
      <c r="M188" s="326"/>
      <c r="N188" s="326"/>
      <c r="O188" s="326"/>
      <c r="P188" s="326"/>
    </row>
    <row r="189" spans="4:16" ht="12.75">
      <c r="D189" s="326"/>
      <c r="E189" s="326"/>
      <c r="F189" s="326"/>
      <c r="G189" s="326"/>
      <c r="H189" s="326"/>
      <c r="I189" s="326"/>
      <c r="J189" s="326"/>
      <c r="K189" s="326"/>
      <c r="L189" s="326"/>
      <c r="M189" s="326"/>
      <c r="N189" s="326"/>
      <c r="O189" s="326"/>
      <c r="P189" s="326"/>
    </row>
    <row r="190" spans="4:16" ht="12.75">
      <c r="D190" s="326"/>
      <c r="E190" s="326"/>
      <c r="F190" s="326"/>
      <c r="G190" s="326"/>
      <c r="H190" s="326"/>
      <c r="I190" s="326"/>
      <c r="J190" s="326"/>
      <c r="K190" s="326"/>
      <c r="L190" s="326"/>
      <c r="M190" s="326"/>
      <c r="N190" s="326"/>
      <c r="O190" s="326"/>
      <c r="P190" s="326"/>
    </row>
    <row r="191" spans="4:16" ht="12.75">
      <c r="D191" s="326"/>
      <c r="E191" s="326"/>
      <c r="F191" s="326"/>
      <c r="G191" s="326"/>
      <c r="H191" s="326"/>
      <c r="I191" s="326"/>
      <c r="J191" s="326"/>
      <c r="K191" s="326"/>
      <c r="L191" s="326"/>
      <c r="M191" s="326"/>
      <c r="N191" s="326"/>
      <c r="O191" s="326"/>
      <c r="P191" s="326"/>
    </row>
    <row r="192" spans="4:16" ht="12.75">
      <c r="D192" s="326"/>
      <c r="E192" s="326"/>
      <c r="F192" s="326"/>
      <c r="G192" s="326"/>
      <c r="H192" s="326"/>
      <c r="I192" s="326"/>
      <c r="J192" s="326"/>
      <c r="K192" s="326"/>
      <c r="L192" s="326"/>
      <c r="M192" s="326"/>
      <c r="N192" s="326"/>
      <c r="O192" s="326"/>
      <c r="P192" s="326"/>
    </row>
    <row r="193" spans="4:16" ht="12.75">
      <c r="D193" s="326"/>
      <c r="E193" s="326"/>
      <c r="F193" s="326"/>
      <c r="G193" s="326"/>
      <c r="H193" s="326"/>
      <c r="I193" s="326"/>
      <c r="J193" s="326"/>
      <c r="K193" s="326"/>
      <c r="L193" s="326"/>
      <c r="M193" s="326"/>
      <c r="N193" s="326"/>
      <c r="O193" s="326"/>
      <c r="P193" s="326"/>
    </row>
    <row r="194" spans="4:16" ht="12.75">
      <c r="D194" s="326"/>
      <c r="E194" s="326"/>
      <c r="F194" s="326"/>
      <c r="G194" s="326"/>
      <c r="H194" s="326"/>
      <c r="I194" s="326"/>
      <c r="J194" s="326"/>
      <c r="K194" s="326"/>
      <c r="L194" s="326"/>
      <c r="M194" s="326"/>
      <c r="N194" s="326"/>
      <c r="O194" s="326"/>
      <c r="P194" s="326"/>
    </row>
    <row r="195" spans="4:16" ht="12.75">
      <c r="D195" s="326"/>
      <c r="E195" s="326"/>
      <c r="F195" s="326"/>
      <c r="G195" s="326"/>
      <c r="H195" s="326"/>
      <c r="I195" s="326"/>
      <c r="J195" s="326"/>
      <c r="K195" s="326"/>
      <c r="L195" s="326"/>
      <c r="M195" s="326"/>
      <c r="N195" s="326"/>
      <c r="O195" s="326"/>
      <c r="P195" s="326"/>
    </row>
    <row r="196" spans="4:16" ht="12.75">
      <c r="D196" s="326"/>
      <c r="E196" s="326"/>
      <c r="F196" s="326"/>
      <c r="G196" s="326"/>
      <c r="H196" s="326"/>
      <c r="I196" s="326"/>
      <c r="J196" s="326"/>
      <c r="K196" s="326"/>
      <c r="L196" s="326"/>
      <c r="M196" s="326"/>
      <c r="N196" s="326"/>
      <c r="O196" s="326"/>
      <c r="P196" s="326"/>
    </row>
    <row r="197" spans="4:16" ht="12.75">
      <c r="D197" s="326"/>
      <c r="E197" s="326"/>
      <c r="F197" s="326"/>
      <c r="G197" s="326"/>
      <c r="H197" s="326"/>
      <c r="I197" s="326"/>
      <c r="J197" s="326"/>
      <c r="K197" s="326"/>
      <c r="L197" s="326"/>
      <c r="M197" s="326"/>
      <c r="N197" s="326"/>
      <c r="O197" s="326"/>
      <c r="P197" s="326"/>
    </row>
    <row r="198" spans="4:16" ht="12.75">
      <c r="D198" s="326"/>
      <c r="E198" s="326"/>
      <c r="F198" s="326"/>
      <c r="G198" s="326"/>
      <c r="H198" s="326"/>
      <c r="I198" s="326"/>
      <c r="J198" s="326"/>
      <c r="K198" s="326"/>
      <c r="L198" s="326"/>
      <c r="M198" s="326"/>
      <c r="N198" s="326"/>
      <c r="O198" s="326"/>
      <c r="P198" s="326"/>
    </row>
    <row r="199" spans="4:16" ht="12.75">
      <c r="D199" s="326"/>
      <c r="E199" s="326"/>
      <c r="F199" s="326"/>
      <c r="G199" s="326"/>
      <c r="H199" s="326"/>
      <c r="I199" s="326"/>
      <c r="J199" s="326"/>
      <c r="K199" s="326"/>
      <c r="L199" s="326"/>
      <c r="M199" s="326"/>
      <c r="N199" s="326"/>
      <c r="O199" s="326"/>
      <c r="P199" s="326"/>
    </row>
    <row r="200" spans="4:16" ht="12.75">
      <c r="D200" s="326"/>
      <c r="E200" s="326"/>
      <c r="F200" s="326"/>
      <c r="G200" s="326"/>
      <c r="H200" s="326"/>
      <c r="I200" s="326"/>
      <c r="J200" s="326"/>
      <c r="K200" s="326"/>
      <c r="L200" s="326"/>
      <c r="M200" s="326"/>
      <c r="N200" s="326"/>
      <c r="O200" s="326"/>
      <c r="P200" s="326"/>
    </row>
    <row r="201" spans="4:16" ht="12.75">
      <c r="D201" s="326"/>
      <c r="E201" s="326"/>
      <c r="F201" s="326"/>
      <c r="G201" s="326"/>
      <c r="H201" s="326"/>
      <c r="I201" s="326"/>
      <c r="J201" s="326"/>
      <c r="K201" s="326"/>
      <c r="L201" s="326"/>
      <c r="M201" s="326"/>
      <c r="N201" s="326"/>
      <c r="O201" s="326"/>
      <c r="P201" s="326"/>
    </row>
    <row r="202" spans="4:16" ht="12.75">
      <c r="D202" s="326"/>
      <c r="E202" s="326"/>
      <c r="F202" s="326"/>
      <c r="G202" s="326"/>
      <c r="H202" s="326"/>
      <c r="I202" s="326"/>
      <c r="J202" s="326"/>
      <c r="K202" s="326"/>
      <c r="L202" s="326"/>
      <c r="M202" s="326"/>
      <c r="N202" s="326"/>
      <c r="O202" s="326"/>
      <c r="P202" s="326"/>
    </row>
    <row r="203" spans="4:16" ht="12.75">
      <c r="D203" s="326"/>
      <c r="E203" s="326"/>
      <c r="F203" s="326"/>
      <c r="G203" s="326"/>
      <c r="H203" s="326"/>
      <c r="I203" s="326"/>
      <c r="J203" s="326"/>
      <c r="K203" s="326"/>
      <c r="L203" s="326"/>
      <c r="M203" s="326"/>
      <c r="N203" s="326"/>
      <c r="O203" s="326"/>
      <c r="P203" s="326"/>
    </row>
    <row r="204" spans="4:16" ht="12.75">
      <c r="D204" s="326"/>
      <c r="E204" s="326"/>
      <c r="F204" s="326"/>
      <c r="G204" s="326"/>
      <c r="H204" s="326"/>
      <c r="I204" s="326"/>
      <c r="J204" s="326"/>
      <c r="K204" s="326"/>
      <c r="L204" s="326"/>
      <c r="M204" s="326"/>
      <c r="N204" s="326"/>
      <c r="O204" s="326"/>
      <c r="P204" s="326"/>
    </row>
    <row r="205" spans="4:16" ht="12.75">
      <c r="D205" s="326"/>
      <c r="E205" s="326"/>
      <c r="F205" s="326"/>
      <c r="G205" s="326"/>
      <c r="H205" s="326"/>
      <c r="I205" s="326"/>
      <c r="J205" s="326"/>
      <c r="K205" s="326"/>
      <c r="L205" s="326"/>
      <c r="M205" s="326"/>
      <c r="N205" s="326"/>
      <c r="O205" s="326"/>
      <c r="P205" s="326"/>
    </row>
    <row r="206" spans="4:16" ht="12.75">
      <c r="D206" s="326"/>
      <c r="E206" s="326"/>
      <c r="F206" s="326"/>
      <c r="G206" s="326"/>
      <c r="H206" s="326"/>
      <c r="I206" s="326"/>
      <c r="J206" s="326"/>
      <c r="K206" s="326"/>
      <c r="L206" s="326"/>
      <c r="M206" s="326"/>
      <c r="N206" s="326"/>
      <c r="O206" s="326"/>
      <c r="P206" s="326"/>
    </row>
    <row r="207" spans="4:16" ht="12.75">
      <c r="D207" s="326"/>
      <c r="E207" s="326"/>
      <c r="F207" s="326"/>
      <c r="G207" s="326"/>
      <c r="H207" s="326"/>
      <c r="I207" s="326"/>
      <c r="J207" s="326"/>
      <c r="K207" s="326"/>
      <c r="L207" s="326"/>
      <c r="M207" s="326"/>
      <c r="N207" s="326"/>
      <c r="O207" s="326"/>
      <c r="P207" s="326"/>
    </row>
    <row r="208" spans="4:16" ht="12.75">
      <c r="D208" s="326"/>
      <c r="E208" s="326"/>
      <c r="F208" s="326"/>
      <c r="G208" s="326"/>
      <c r="H208" s="326"/>
      <c r="I208" s="326"/>
      <c r="J208" s="326"/>
      <c r="K208" s="326"/>
      <c r="L208" s="326"/>
      <c r="M208" s="326"/>
      <c r="N208" s="326"/>
      <c r="O208" s="326"/>
      <c r="P208" s="326"/>
    </row>
    <row r="209" spans="4:16" ht="12.75">
      <c r="D209" s="326"/>
      <c r="E209" s="326"/>
      <c r="F209" s="326"/>
      <c r="G209" s="326"/>
      <c r="H209" s="326"/>
      <c r="I209" s="326"/>
      <c r="J209" s="326"/>
      <c r="K209" s="326"/>
      <c r="L209" s="326"/>
      <c r="M209" s="326"/>
      <c r="N209" s="326"/>
      <c r="O209" s="326"/>
      <c r="P209" s="326"/>
    </row>
    <row r="210" spans="4:16" ht="12.75">
      <c r="D210" s="326"/>
      <c r="E210" s="326"/>
      <c r="F210" s="326"/>
      <c r="G210" s="326"/>
      <c r="H210" s="326"/>
      <c r="I210" s="326"/>
      <c r="J210" s="326"/>
      <c r="K210" s="326"/>
      <c r="L210" s="326"/>
      <c r="M210" s="326"/>
      <c r="N210" s="326"/>
      <c r="O210" s="326"/>
      <c r="P210" s="326"/>
    </row>
    <row r="211" spans="4:16" ht="12.75">
      <c r="D211" s="326"/>
      <c r="E211" s="326"/>
      <c r="F211" s="326"/>
      <c r="G211" s="326"/>
      <c r="H211" s="326"/>
      <c r="I211" s="326"/>
      <c r="J211" s="326"/>
      <c r="K211" s="326"/>
      <c r="L211" s="326"/>
      <c r="M211" s="326"/>
      <c r="N211" s="326"/>
      <c r="O211" s="326"/>
      <c r="P211" s="326"/>
    </row>
    <row r="212" spans="4:16" ht="12.75">
      <c r="D212" s="326"/>
      <c r="E212" s="326"/>
      <c r="F212" s="326"/>
      <c r="G212" s="326"/>
      <c r="H212" s="326"/>
      <c r="I212" s="326"/>
      <c r="J212" s="326"/>
      <c r="K212" s="326"/>
      <c r="L212" s="326"/>
      <c r="M212" s="326"/>
      <c r="N212" s="326"/>
      <c r="O212" s="326"/>
      <c r="P212" s="326"/>
    </row>
    <row r="213" spans="4:16" ht="12.75">
      <c r="D213" s="326"/>
      <c r="E213" s="326"/>
      <c r="F213" s="326"/>
      <c r="G213" s="326"/>
      <c r="H213" s="326"/>
      <c r="I213" s="326"/>
      <c r="J213" s="326"/>
      <c r="K213" s="326"/>
      <c r="L213" s="326"/>
      <c r="M213" s="326"/>
      <c r="N213" s="326"/>
      <c r="O213" s="326"/>
      <c r="P213" s="326"/>
    </row>
    <row r="214" spans="4:16" ht="12.75">
      <c r="D214" s="326"/>
      <c r="E214" s="326"/>
      <c r="F214" s="326"/>
      <c r="G214" s="326"/>
      <c r="H214" s="326"/>
      <c r="I214" s="326"/>
      <c r="J214" s="326"/>
      <c r="K214" s="326"/>
      <c r="L214" s="326"/>
      <c r="M214" s="326"/>
      <c r="N214" s="326"/>
      <c r="O214" s="326"/>
      <c r="P214" s="326"/>
    </row>
    <row r="215" spans="4:16" ht="12.75">
      <c r="D215" s="326"/>
      <c r="E215" s="326"/>
      <c r="F215" s="326"/>
      <c r="G215" s="326"/>
      <c r="H215" s="326"/>
      <c r="I215" s="326"/>
      <c r="J215" s="326"/>
      <c r="K215" s="326"/>
      <c r="L215" s="326"/>
      <c r="M215" s="326"/>
      <c r="N215" s="326"/>
      <c r="O215" s="326"/>
      <c r="P215" s="326"/>
    </row>
    <row r="216" spans="4:16" ht="12.75">
      <c r="D216" s="326"/>
      <c r="E216" s="326"/>
      <c r="F216" s="326"/>
      <c r="G216" s="326"/>
      <c r="H216" s="326"/>
      <c r="I216" s="326"/>
      <c r="J216" s="326"/>
      <c r="K216" s="326"/>
      <c r="L216" s="326"/>
      <c r="M216" s="326"/>
      <c r="N216" s="326"/>
      <c r="O216" s="326"/>
      <c r="P216" s="326"/>
    </row>
    <row r="217" spans="4:16" ht="12.75">
      <c r="D217" s="326"/>
      <c r="E217" s="326"/>
      <c r="F217" s="326"/>
      <c r="G217" s="326"/>
      <c r="H217" s="326"/>
      <c r="I217" s="326"/>
      <c r="J217" s="326"/>
      <c r="K217" s="326"/>
      <c r="L217" s="326"/>
      <c r="M217" s="326"/>
      <c r="N217" s="326"/>
      <c r="O217" s="326"/>
      <c r="P217" s="326"/>
    </row>
    <row r="218" spans="4:16" ht="12.75">
      <c r="D218" s="326"/>
      <c r="E218" s="326"/>
      <c r="F218" s="326"/>
      <c r="G218" s="326"/>
      <c r="H218" s="326"/>
      <c r="I218" s="326"/>
      <c r="J218" s="326"/>
      <c r="K218" s="326"/>
      <c r="L218" s="326"/>
      <c r="M218" s="326"/>
      <c r="N218" s="326"/>
      <c r="O218" s="326"/>
      <c r="P218" s="326"/>
    </row>
    <row r="219" spans="4:16" ht="12.75">
      <c r="D219" s="326"/>
      <c r="E219" s="326"/>
      <c r="F219" s="326"/>
      <c r="G219" s="326"/>
      <c r="H219" s="326"/>
      <c r="I219" s="326"/>
      <c r="J219" s="326"/>
      <c r="K219" s="326"/>
      <c r="L219" s="326"/>
      <c r="M219" s="326"/>
      <c r="N219" s="326"/>
      <c r="O219" s="326"/>
      <c r="P219" s="326"/>
    </row>
    <row r="220" spans="4:16" ht="12.75">
      <c r="D220" s="326"/>
      <c r="E220" s="326"/>
      <c r="F220" s="326"/>
      <c r="G220" s="326"/>
      <c r="H220" s="326"/>
      <c r="I220" s="326"/>
      <c r="J220" s="326"/>
      <c r="K220" s="326"/>
      <c r="L220" s="326"/>
      <c r="M220" s="326"/>
      <c r="N220" s="326"/>
      <c r="O220" s="326"/>
      <c r="P220" s="326"/>
    </row>
    <row r="221" spans="4:16" ht="12.75">
      <c r="D221" s="326"/>
      <c r="E221" s="326"/>
      <c r="F221" s="326"/>
      <c r="G221" s="326"/>
      <c r="H221" s="326"/>
      <c r="I221" s="326"/>
      <c r="J221" s="326"/>
      <c r="K221" s="326"/>
      <c r="L221" s="326"/>
      <c r="M221" s="326"/>
      <c r="N221" s="326"/>
      <c r="O221" s="326"/>
      <c r="P221" s="326"/>
    </row>
    <row r="222" spans="4:16" ht="12.75">
      <c r="D222" s="326"/>
      <c r="E222" s="326"/>
      <c r="F222" s="326"/>
      <c r="G222" s="326"/>
      <c r="H222" s="326"/>
      <c r="I222" s="326"/>
      <c r="J222" s="326"/>
      <c r="K222" s="326"/>
      <c r="L222" s="326"/>
      <c r="M222" s="326"/>
      <c r="N222" s="326"/>
      <c r="O222" s="326"/>
      <c r="P222" s="326"/>
    </row>
    <row r="223" spans="4:16" ht="12.75">
      <c r="D223" s="326"/>
      <c r="E223" s="326"/>
      <c r="F223" s="326"/>
      <c r="G223" s="326"/>
      <c r="H223" s="326"/>
      <c r="I223" s="326"/>
      <c r="J223" s="326"/>
      <c r="K223" s="326"/>
      <c r="L223" s="326"/>
      <c r="M223" s="326"/>
      <c r="N223" s="326"/>
      <c r="O223" s="326"/>
      <c r="P223" s="326"/>
    </row>
    <row r="224" spans="4:16" ht="12.75">
      <c r="D224" s="326"/>
      <c r="E224" s="326"/>
      <c r="F224" s="326"/>
      <c r="G224" s="326"/>
      <c r="H224" s="326"/>
      <c r="I224" s="326"/>
      <c r="J224" s="326"/>
      <c r="K224" s="326"/>
      <c r="L224" s="326"/>
      <c r="M224" s="326"/>
      <c r="N224" s="326"/>
      <c r="O224" s="326"/>
      <c r="P224" s="326"/>
    </row>
    <row r="225" spans="4:16" ht="12.75">
      <c r="D225" s="326"/>
      <c r="E225" s="326"/>
      <c r="F225" s="326"/>
      <c r="G225" s="326"/>
      <c r="H225" s="326"/>
      <c r="I225" s="326"/>
      <c r="J225" s="326"/>
      <c r="K225" s="326"/>
      <c r="L225" s="326"/>
      <c r="M225" s="326"/>
      <c r="N225" s="326"/>
      <c r="O225" s="326"/>
      <c r="P225" s="326"/>
    </row>
    <row r="226" spans="4:16" ht="12.75">
      <c r="D226" s="326"/>
      <c r="E226" s="326"/>
      <c r="F226" s="326"/>
      <c r="G226" s="326"/>
      <c r="H226" s="326"/>
      <c r="I226" s="326"/>
      <c r="J226" s="326"/>
      <c r="K226" s="326"/>
      <c r="L226" s="326"/>
      <c r="M226" s="326"/>
      <c r="N226" s="326"/>
      <c r="O226" s="326"/>
      <c r="P226" s="326"/>
    </row>
    <row r="227" spans="4:16" ht="12.75">
      <c r="D227" s="326"/>
      <c r="E227" s="326"/>
      <c r="F227" s="326"/>
      <c r="G227" s="326"/>
      <c r="H227" s="326"/>
      <c r="I227" s="326"/>
      <c r="J227" s="326"/>
      <c r="K227" s="326"/>
      <c r="L227" s="326"/>
      <c r="M227" s="326"/>
      <c r="N227" s="326"/>
      <c r="O227" s="326"/>
      <c r="P227" s="326"/>
    </row>
    <row r="228" spans="4:16" ht="12.75">
      <c r="D228" s="326"/>
      <c r="E228" s="326"/>
      <c r="F228" s="326"/>
      <c r="G228" s="326"/>
      <c r="H228" s="326"/>
      <c r="I228" s="326"/>
      <c r="J228" s="326"/>
      <c r="K228" s="326"/>
      <c r="L228" s="326"/>
      <c r="M228" s="326"/>
      <c r="N228" s="326"/>
      <c r="O228" s="326"/>
      <c r="P228" s="326"/>
    </row>
    <row r="229" spans="4:16" ht="12.75">
      <c r="D229" s="326"/>
      <c r="E229" s="326"/>
      <c r="F229" s="326"/>
      <c r="G229" s="326"/>
      <c r="H229" s="326"/>
      <c r="I229" s="326"/>
      <c r="J229" s="326"/>
      <c r="K229" s="326"/>
      <c r="L229" s="326"/>
      <c r="M229" s="326"/>
      <c r="N229" s="326"/>
      <c r="O229" s="326"/>
      <c r="P229" s="326"/>
    </row>
    <row r="230" spans="4:16" ht="12.75">
      <c r="D230" s="326"/>
      <c r="E230" s="326"/>
      <c r="F230" s="326"/>
      <c r="G230" s="326"/>
      <c r="H230" s="326"/>
      <c r="I230" s="326"/>
      <c r="J230" s="326"/>
      <c r="K230" s="326"/>
      <c r="L230" s="326"/>
      <c r="M230" s="326"/>
      <c r="N230" s="326"/>
      <c r="O230" s="326"/>
      <c r="P230" s="326"/>
    </row>
    <row r="231" spans="4:16" ht="12.75">
      <c r="D231" s="326"/>
      <c r="E231" s="326"/>
      <c r="F231" s="326"/>
      <c r="G231" s="326"/>
      <c r="H231" s="326"/>
      <c r="I231" s="326"/>
      <c r="J231" s="326"/>
      <c r="K231" s="326"/>
      <c r="L231" s="326"/>
      <c r="M231" s="326"/>
      <c r="N231" s="326"/>
      <c r="O231" s="326"/>
      <c r="P231" s="326"/>
    </row>
    <row r="232" spans="4:16" ht="12.75">
      <c r="D232" s="326"/>
      <c r="E232" s="326"/>
      <c r="F232" s="326"/>
      <c r="G232" s="326"/>
      <c r="H232" s="326"/>
      <c r="I232" s="326"/>
      <c r="J232" s="326"/>
      <c r="K232" s="326"/>
      <c r="L232" s="326"/>
      <c r="M232" s="326"/>
      <c r="N232" s="326"/>
      <c r="O232" s="326"/>
      <c r="P232" s="326"/>
    </row>
    <row r="233" spans="4:16" ht="12.75">
      <c r="D233" s="326"/>
      <c r="E233" s="326"/>
      <c r="F233" s="326"/>
      <c r="G233" s="326"/>
      <c r="H233" s="326"/>
      <c r="I233" s="326"/>
      <c r="J233" s="326"/>
      <c r="K233" s="326"/>
      <c r="L233" s="326"/>
      <c r="M233" s="326"/>
      <c r="N233" s="326"/>
      <c r="O233" s="326"/>
      <c r="P233" s="326"/>
    </row>
    <row r="234" spans="4:16" ht="12.75">
      <c r="D234" s="326"/>
      <c r="E234" s="326"/>
      <c r="F234" s="326"/>
      <c r="G234" s="326"/>
      <c r="H234" s="326"/>
      <c r="I234" s="326"/>
      <c r="J234" s="326"/>
      <c r="K234" s="326"/>
      <c r="L234" s="326"/>
      <c r="M234" s="326"/>
      <c r="N234" s="326"/>
      <c r="O234" s="326"/>
      <c r="P234" s="326"/>
    </row>
    <row r="235" spans="4:16" ht="12.75">
      <c r="D235" s="326"/>
      <c r="E235" s="326"/>
      <c r="F235" s="326"/>
      <c r="G235" s="326"/>
      <c r="H235" s="326"/>
      <c r="I235" s="326"/>
      <c r="J235" s="326"/>
      <c r="K235" s="326"/>
      <c r="L235" s="326"/>
      <c r="M235" s="326"/>
      <c r="N235" s="326"/>
      <c r="O235" s="326"/>
      <c r="P235" s="326"/>
    </row>
    <row r="236" spans="4:16" ht="12.75">
      <c r="D236" s="326"/>
      <c r="E236" s="326"/>
      <c r="F236" s="326"/>
      <c r="G236" s="326"/>
      <c r="H236" s="326"/>
      <c r="I236" s="326"/>
      <c r="J236" s="326"/>
      <c r="K236" s="326"/>
      <c r="L236" s="326"/>
      <c r="M236" s="326"/>
      <c r="N236" s="326"/>
      <c r="O236" s="326"/>
      <c r="P236" s="326"/>
    </row>
    <row r="237" spans="4:16" ht="12.75">
      <c r="D237" s="326"/>
      <c r="E237" s="326"/>
      <c r="F237" s="326"/>
      <c r="G237" s="326"/>
      <c r="H237" s="326"/>
      <c r="I237" s="326"/>
      <c r="J237" s="326"/>
      <c r="K237" s="326"/>
      <c r="L237" s="326"/>
      <c r="M237" s="326"/>
      <c r="N237" s="326"/>
      <c r="O237" s="326"/>
      <c r="P237" s="326"/>
    </row>
    <row r="238" spans="4:16" ht="12.75">
      <c r="D238" s="326"/>
      <c r="E238" s="326"/>
      <c r="F238" s="326"/>
      <c r="G238" s="326"/>
      <c r="H238" s="326"/>
      <c r="I238" s="326"/>
      <c r="J238" s="326"/>
      <c r="K238" s="326"/>
      <c r="L238" s="326"/>
      <c r="M238" s="326"/>
      <c r="N238" s="326"/>
      <c r="O238" s="326"/>
      <c r="P238" s="326"/>
    </row>
    <row r="239" spans="4:16" ht="12.75">
      <c r="D239" s="326"/>
      <c r="E239" s="326"/>
      <c r="F239" s="326"/>
      <c r="G239" s="326"/>
      <c r="H239" s="326"/>
      <c r="I239" s="326"/>
      <c r="J239" s="326"/>
      <c r="K239" s="326"/>
      <c r="L239" s="326"/>
      <c r="M239" s="326"/>
      <c r="N239" s="326"/>
      <c r="O239" s="326"/>
      <c r="P239" s="326"/>
    </row>
    <row r="240" spans="4:16" ht="12.75">
      <c r="D240" s="326"/>
      <c r="E240" s="326"/>
      <c r="F240" s="326"/>
      <c r="G240" s="326"/>
      <c r="H240" s="326"/>
      <c r="I240" s="326"/>
      <c r="J240" s="326"/>
      <c r="K240" s="326"/>
      <c r="L240" s="326"/>
      <c r="M240" s="326"/>
      <c r="N240" s="326"/>
      <c r="O240" s="326"/>
      <c r="P240" s="326"/>
    </row>
    <row r="241" spans="4:16" ht="12.75">
      <c r="D241" s="326"/>
      <c r="E241" s="326"/>
      <c r="F241" s="326"/>
      <c r="G241" s="326"/>
      <c r="H241" s="326"/>
      <c r="I241" s="326"/>
      <c r="J241" s="326"/>
      <c r="K241" s="326"/>
      <c r="L241" s="326"/>
      <c r="M241" s="326"/>
      <c r="N241" s="326"/>
      <c r="O241" s="326"/>
      <c r="P241" s="326"/>
    </row>
    <row r="242" spans="4:16" ht="12.75">
      <c r="D242" s="326"/>
      <c r="E242" s="326"/>
      <c r="F242" s="326"/>
      <c r="G242" s="326"/>
      <c r="H242" s="326"/>
      <c r="I242" s="326"/>
      <c r="J242" s="326"/>
      <c r="K242" s="326"/>
      <c r="L242" s="326"/>
      <c r="M242" s="326"/>
      <c r="N242" s="326"/>
      <c r="O242" s="326"/>
      <c r="P242" s="326"/>
    </row>
    <row r="243" spans="4:16" ht="12.75">
      <c r="D243" s="326"/>
      <c r="E243" s="326"/>
      <c r="F243" s="326"/>
      <c r="G243" s="326"/>
      <c r="H243" s="326"/>
      <c r="I243" s="326"/>
      <c r="J243" s="326"/>
      <c r="K243" s="326"/>
      <c r="L243" s="326"/>
      <c r="M243" s="326"/>
      <c r="N243" s="326"/>
      <c r="O243" s="326"/>
      <c r="P243" s="326"/>
    </row>
    <row r="244" spans="4:16" ht="12.75">
      <c r="D244" s="326"/>
      <c r="E244" s="326"/>
      <c r="F244" s="326"/>
      <c r="G244" s="326"/>
      <c r="H244" s="326"/>
      <c r="I244" s="326"/>
      <c r="J244" s="326"/>
      <c r="K244" s="326"/>
      <c r="L244" s="326"/>
      <c r="M244" s="326"/>
      <c r="N244" s="326"/>
      <c r="O244" s="326"/>
      <c r="P244" s="326"/>
    </row>
    <row r="245" spans="4:16" ht="12.75">
      <c r="D245" s="326"/>
      <c r="E245" s="326"/>
      <c r="F245" s="326"/>
      <c r="G245" s="326"/>
      <c r="H245" s="326"/>
      <c r="I245" s="326"/>
      <c r="J245" s="326"/>
      <c r="K245" s="326"/>
      <c r="L245" s="326"/>
      <c r="M245" s="326"/>
      <c r="N245" s="326"/>
      <c r="O245" s="326"/>
      <c r="P245" s="326"/>
    </row>
    <row r="246" spans="4:16" ht="12.75">
      <c r="D246" s="326"/>
      <c r="E246" s="326"/>
      <c r="F246" s="326"/>
      <c r="G246" s="326"/>
      <c r="H246" s="326"/>
      <c r="I246" s="326"/>
      <c r="J246" s="326"/>
      <c r="K246" s="326"/>
      <c r="L246" s="326"/>
      <c r="M246" s="326"/>
      <c r="N246" s="326"/>
      <c r="O246" s="326"/>
      <c r="P246" s="326"/>
    </row>
    <row r="247" spans="4:16" ht="12.75">
      <c r="D247" s="326"/>
      <c r="E247" s="326"/>
      <c r="F247" s="326"/>
      <c r="G247" s="326"/>
      <c r="H247" s="326"/>
      <c r="I247" s="326"/>
      <c r="J247" s="326"/>
      <c r="K247" s="326"/>
      <c r="L247" s="326"/>
      <c r="M247" s="326"/>
      <c r="N247" s="326"/>
      <c r="O247" s="326"/>
      <c r="P247" s="326"/>
    </row>
    <row r="248" spans="4:16" ht="12.75">
      <c r="D248" s="326"/>
      <c r="E248" s="326"/>
      <c r="F248" s="326"/>
      <c r="G248" s="326"/>
      <c r="H248" s="326"/>
      <c r="I248" s="326"/>
      <c r="J248" s="326"/>
      <c r="K248" s="326"/>
      <c r="L248" s="326"/>
      <c r="M248" s="326"/>
      <c r="N248" s="326"/>
      <c r="O248" s="326"/>
      <c r="P248" s="326"/>
    </row>
    <row r="249" spans="4:16" ht="12.75">
      <c r="D249" s="326"/>
      <c r="E249" s="326"/>
      <c r="F249" s="326"/>
      <c r="G249" s="326"/>
      <c r="H249" s="326"/>
      <c r="I249" s="326"/>
      <c r="J249" s="326"/>
      <c r="K249" s="326"/>
      <c r="L249" s="326"/>
      <c r="M249" s="326"/>
      <c r="N249" s="326"/>
      <c r="O249" s="326"/>
      <c r="P249" s="326"/>
    </row>
    <row r="250" spans="4:16" ht="12.75">
      <c r="D250" s="326"/>
      <c r="E250" s="326"/>
      <c r="F250" s="326"/>
      <c r="G250" s="326"/>
      <c r="H250" s="326"/>
      <c r="I250" s="326"/>
      <c r="J250" s="326"/>
      <c r="K250" s="326"/>
      <c r="L250" s="326"/>
      <c r="M250" s="326"/>
      <c r="N250" s="326"/>
      <c r="O250" s="326"/>
      <c r="P250" s="326"/>
    </row>
    <row r="251" spans="4:16" ht="12.75">
      <c r="D251" s="326"/>
      <c r="E251" s="326"/>
      <c r="F251" s="326"/>
      <c r="G251" s="326"/>
      <c r="H251" s="326"/>
      <c r="I251" s="326"/>
      <c r="J251" s="326"/>
      <c r="K251" s="326"/>
      <c r="L251" s="326"/>
      <c r="M251" s="326"/>
      <c r="N251" s="326"/>
      <c r="O251" s="326"/>
      <c r="P251" s="326"/>
    </row>
    <row r="252" spans="4:16" ht="12.75">
      <c r="D252" s="326"/>
      <c r="E252" s="326"/>
      <c r="F252" s="326"/>
      <c r="G252" s="326"/>
      <c r="H252" s="326"/>
      <c r="I252" s="326"/>
      <c r="J252" s="326"/>
      <c r="K252" s="326"/>
      <c r="L252" s="326"/>
      <c r="M252" s="326"/>
      <c r="N252" s="326"/>
      <c r="O252" s="326"/>
      <c r="P252" s="326"/>
    </row>
    <row r="253" spans="4:16" ht="12.75">
      <c r="D253" s="326"/>
      <c r="E253" s="326"/>
      <c r="F253" s="326"/>
      <c r="G253" s="326"/>
      <c r="H253" s="326"/>
      <c r="I253" s="326"/>
      <c r="J253" s="326"/>
      <c r="K253" s="326"/>
      <c r="L253" s="326"/>
      <c r="M253" s="326"/>
      <c r="N253" s="326"/>
      <c r="O253" s="326"/>
      <c r="P253" s="326"/>
    </row>
    <row r="254" spans="4:16" ht="12.75">
      <c r="D254" s="326"/>
      <c r="E254" s="326"/>
      <c r="F254" s="326"/>
      <c r="G254" s="326"/>
      <c r="H254" s="326"/>
      <c r="I254" s="326"/>
      <c r="J254" s="326"/>
      <c r="K254" s="326"/>
      <c r="L254" s="326"/>
      <c r="M254" s="326"/>
      <c r="N254" s="326"/>
      <c r="O254" s="326"/>
      <c r="P254" s="326"/>
    </row>
    <row r="255" spans="4:16" ht="12.75">
      <c r="D255" s="326"/>
      <c r="E255" s="326"/>
      <c r="F255" s="326"/>
      <c r="G255" s="326"/>
      <c r="H255" s="326"/>
      <c r="I255" s="326"/>
      <c r="J255" s="326"/>
      <c r="K255" s="326"/>
      <c r="L255" s="326"/>
      <c r="M255" s="326"/>
      <c r="N255" s="326"/>
      <c r="O255" s="326"/>
      <c r="P255" s="326"/>
    </row>
    <row r="256" spans="4:16" ht="12.75">
      <c r="D256" s="326"/>
      <c r="E256" s="326"/>
      <c r="F256" s="326"/>
      <c r="G256" s="326"/>
      <c r="H256" s="326"/>
      <c r="I256" s="326"/>
      <c r="J256" s="326"/>
      <c r="K256" s="326"/>
      <c r="L256" s="326"/>
      <c r="M256" s="326"/>
      <c r="N256" s="326"/>
      <c r="O256" s="326"/>
      <c r="P256" s="326"/>
    </row>
    <row r="257" spans="4:16" ht="12.75">
      <c r="D257" s="326"/>
      <c r="E257" s="326"/>
      <c r="F257" s="326"/>
      <c r="G257" s="326"/>
      <c r="H257" s="326"/>
      <c r="I257" s="326"/>
      <c r="J257" s="326"/>
      <c r="K257" s="326"/>
      <c r="L257" s="326"/>
      <c r="M257" s="326"/>
      <c r="N257" s="326"/>
      <c r="O257" s="326"/>
      <c r="P257" s="326"/>
    </row>
    <row r="258" spans="4:16" ht="12.75">
      <c r="D258" s="326"/>
      <c r="E258" s="326"/>
      <c r="F258" s="326"/>
      <c r="G258" s="326"/>
      <c r="H258" s="326"/>
      <c r="I258" s="326"/>
      <c r="J258" s="326"/>
      <c r="K258" s="326"/>
      <c r="L258" s="326"/>
      <c r="M258" s="326"/>
      <c r="N258" s="326"/>
      <c r="O258" s="326"/>
      <c r="P258" s="326"/>
    </row>
    <row r="259" spans="4:16" ht="12.75">
      <c r="D259" s="326"/>
      <c r="E259" s="326"/>
      <c r="F259" s="326"/>
      <c r="G259" s="326"/>
      <c r="H259" s="326"/>
      <c r="I259" s="326"/>
      <c r="J259" s="326"/>
      <c r="K259" s="326"/>
      <c r="L259" s="326"/>
      <c r="M259" s="326"/>
      <c r="N259" s="326"/>
      <c r="O259" s="326"/>
      <c r="P259" s="326"/>
    </row>
    <row r="260" spans="4:16" ht="12.75">
      <c r="D260" s="326"/>
      <c r="E260" s="326"/>
      <c r="F260" s="326"/>
      <c r="G260" s="326"/>
      <c r="H260" s="326"/>
      <c r="I260" s="326"/>
      <c r="J260" s="326"/>
      <c r="K260" s="326"/>
      <c r="L260" s="326"/>
      <c r="M260" s="326"/>
      <c r="N260" s="326"/>
      <c r="O260" s="326"/>
      <c r="P260" s="326"/>
    </row>
    <row r="261" spans="4:16" ht="12.75">
      <c r="D261" s="326"/>
      <c r="E261" s="326"/>
      <c r="F261" s="326"/>
      <c r="G261" s="326"/>
      <c r="H261" s="326"/>
      <c r="I261" s="326"/>
      <c r="J261" s="326"/>
      <c r="K261" s="326"/>
      <c r="L261" s="326"/>
      <c r="M261" s="326"/>
      <c r="N261" s="326"/>
      <c r="O261" s="326"/>
      <c r="P261" s="326"/>
    </row>
    <row r="262" spans="4:16" ht="12.75">
      <c r="D262" s="326"/>
      <c r="E262" s="326"/>
      <c r="F262" s="326"/>
      <c r="G262" s="326"/>
      <c r="H262" s="326"/>
      <c r="I262" s="326"/>
      <c r="J262" s="326"/>
      <c r="K262" s="326"/>
      <c r="L262" s="326"/>
      <c r="M262" s="326"/>
      <c r="N262" s="326"/>
      <c r="O262" s="326"/>
      <c r="P262" s="326"/>
    </row>
    <row r="263" spans="4:16" ht="12.75">
      <c r="D263" s="326"/>
      <c r="E263" s="326"/>
      <c r="F263" s="326"/>
      <c r="G263" s="326"/>
      <c r="H263" s="326"/>
      <c r="I263" s="326"/>
      <c r="J263" s="326"/>
      <c r="K263" s="326"/>
      <c r="L263" s="326"/>
      <c r="M263" s="326"/>
      <c r="N263" s="326"/>
      <c r="O263" s="326"/>
      <c r="P263" s="326"/>
    </row>
    <row r="264" spans="4:16" ht="12.75">
      <c r="D264" s="326"/>
      <c r="E264" s="326"/>
      <c r="F264" s="326"/>
      <c r="G264" s="326"/>
      <c r="H264" s="326"/>
      <c r="I264" s="326"/>
      <c r="J264" s="326"/>
      <c r="K264" s="326"/>
      <c r="L264" s="326"/>
      <c r="M264" s="326"/>
      <c r="N264" s="326"/>
      <c r="O264" s="326"/>
      <c r="P264" s="326"/>
    </row>
    <row r="265" spans="4:16" ht="12.75">
      <c r="D265" s="326"/>
      <c r="E265" s="326"/>
      <c r="F265" s="326"/>
      <c r="G265" s="326"/>
      <c r="H265" s="326"/>
      <c r="I265" s="326"/>
      <c r="J265" s="326"/>
      <c r="K265" s="326"/>
      <c r="L265" s="326"/>
      <c r="M265" s="326"/>
      <c r="N265" s="326"/>
      <c r="O265" s="326"/>
      <c r="P265" s="326"/>
    </row>
    <row r="266" spans="4:16" ht="12.75">
      <c r="D266" s="326"/>
      <c r="E266" s="326"/>
      <c r="F266" s="326"/>
      <c r="G266" s="326"/>
      <c r="H266" s="326"/>
      <c r="I266" s="326"/>
      <c r="J266" s="326"/>
      <c r="K266" s="326"/>
      <c r="L266" s="326"/>
      <c r="M266" s="326"/>
      <c r="N266" s="326"/>
      <c r="O266" s="326"/>
      <c r="P266" s="326"/>
    </row>
    <row r="267" spans="4:16" ht="12.75">
      <c r="D267" s="326"/>
      <c r="E267" s="326"/>
      <c r="F267" s="326"/>
      <c r="G267" s="326"/>
      <c r="H267" s="326"/>
      <c r="I267" s="326"/>
      <c r="J267" s="326"/>
      <c r="K267" s="326"/>
      <c r="L267" s="326"/>
      <c r="M267" s="326"/>
      <c r="N267" s="326"/>
      <c r="O267" s="326"/>
      <c r="P267" s="326"/>
    </row>
    <row r="268" spans="4:16" ht="12.75">
      <c r="D268" s="326"/>
      <c r="E268" s="326"/>
      <c r="F268" s="326"/>
      <c r="G268" s="326"/>
      <c r="H268" s="326"/>
      <c r="I268" s="326"/>
      <c r="J268" s="326"/>
      <c r="K268" s="326"/>
      <c r="L268" s="326"/>
      <c r="M268" s="326"/>
      <c r="N268" s="326"/>
      <c r="O268" s="326"/>
      <c r="P268" s="326"/>
    </row>
    <row r="269" spans="4:16" ht="12.75">
      <c r="D269" s="326"/>
      <c r="E269" s="326"/>
      <c r="F269" s="326"/>
      <c r="G269" s="326"/>
      <c r="H269" s="326"/>
      <c r="I269" s="326"/>
      <c r="J269" s="326"/>
      <c r="K269" s="326"/>
      <c r="L269" s="326"/>
      <c r="M269" s="326"/>
      <c r="N269" s="326"/>
      <c r="O269" s="326"/>
      <c r="P269" s="326"/>
    </row>
    <row r="270" spans="4:16" ht="12.75">
      <c r="D270" s="326"/>
      <c r="E270" s="326"/>
      <c r="F270" s="326"/>
      <c r="G270" s="326"/>
      <c r="H270" s="326"/>
      <c r="I270" s="326"/>
      <c r="J270" s="326"/>
      <c r="K270" s="326"/>
      <c r="L270" s="326"/>
      <c r="M270" s="326"/>
      <c r="N270" s="326"/>
      <c r="O270" s="326"/>
      <c r="P270" s="326"/>
    </row>
    <row r="271" spans="4:16" ht="12.75">
      <c r="D271" s="326"/>
      <c r="E271" s="326"/>
      <c r="F271" s="326"/>
      <c r="G271" s="326"/>
      <c r="H271" s="326"/>
      <c r="I271" s="326"/>
      <c r="J271" s="326"/>
      <c r="K271" s="326"/>
      <c r="L271" s="326"/>
      <c r="M271" s="326"/>
      <c r="N271" s="326"/>
      <c r="O271" s="326"/>
      <c r="P271" s="326"/>
    </row>
    <row r="272" spans="4:16" ht="12.75">
      <c r="D272" s="326"/>
      <c r="E272" s="326"/>
      <c r="F272" s="326"/>
      <c r="G272" s="326"/>
      <c r="H272" s="326"/>
      <c r="I272" s="326"/>
      <c r="J272" s="326"/>
      <c r="K272" s="326"/>
      <c r="L272" s="326"/>
      <c r="M272" s="326"/>
      <c r="N272" s="326"/>
      <c r="O272" s="326"/>
      <c r="P272" s="326"/>
    </row>
    <row r="273" spans="4:16" ht="12.75">
      <c r="D273" s="326"/>
      <c r="E273" s="326"/>
      <c r="F273" s="326"/>
      <c r="G273" s="326"/>
      <c r="H273" s="326"/>
      <c r="I273" s="326"/>
      <c r="J273" s="326"/>
      <c r="K273" s="326"/>
      <c r="L273" s="326"/>
      <c r="M273" s="326"/>
      <c r="N273" s="326"/>
      <c r="O273" s="326"/>
      <c r="P273" s="326"/>
    </row>
    <row r="274" spans="4:16" ht="12.75">
      <c r="D274" s="326"/>
      <c r="E274" s="326"/>
      <c r="F274" s="326"/>
      <c r="G274" s="326"/>
      <c r="H274" s="326"/>
      <c r="I274" s="326"/>
      <c r="J274" s="326"/>
      <c r="K274" s="326"/>
      <c r="L274" s="326"/>
      <c r="M274" s="326"/>
      <c r="N274" s="326"/>
      <c r="O274" s="326"/>
      <c r="P274" s="326"/>
    </row>
    <row r="275" spans="4:16" ht="12.75">
      <c r="D275" s="326"/>
      <c r="E275" s="326"/>
      <c r="F275" s="326"/>
      <c r="G275" s="326"/>
      <c r="H275" s="326"/>
      <c r="I275" s="326"/>
      <c r="J275" s="326"/>
      <c r="K275" s="326"/>
      <c r="L275" s="326"/>
      <c r="M275" s="326"/>
      <c r="N275" s="326"/>
      <c r="O275" s="326"/>
      <c r="P275" s="326"/>
    </row>
    <row r="276" spans="4:16" ht="12.75">
      <c r="D276" s="326"/>
      <c r="E276" s="326"/>
      <c r="F276" s="326"/>
      <c r="G276" s="326"/>
      <c r="H276" s="326"/>
      <c r="I276" s="326"/>
      <c r="J276" s="326"/>
      <c r="K276" s="326"/>
      <c r="L276" s="326"/>
      <c r="M276" s="326"/>
      <c r="N276" s="326"/>
      <c r="O276" s="326"/>
      <c r="P276" s="326"/>
    </row>
    <row r="277" spans="4:16" ht="12.75">
      <c r="D277" s="326"/>
      <c r="E277" s="326"/>
      <c r="F277" s="326"/>
      <c r="G277" s="326"/>
      <c r="H277" s="326"/>
      <c r="I277" s="326"/>
      <c r="J277" s="326"/>
      <c r="K277" s="326"/>
      <c r="L277" s="326"/>
      <c r="M277" s="326"/>
      <c r="N277" s="326"/>
      <c r="O277" s="326"/>
      <c r="P277" s="326"/>
    </row>
    <row r="278" spans="4:16" ht="12.75">
      <c r="D278" s="326"/>
      <c r="E278" s="326"/>
      <c r="F278" s="326"/>
      <c r="G278" s="326"/>
      <c r="H278" s="326"/>
      <c r="I278" s="326"/>
      <c r="J278" s="326"/>
      <c r="K278" s="326"/>
      <c r="L278" s="326"/>
      <c r="M278" s="326"/>
      <c r="N278" s="326"/>
      <c r="O278" s="326"/>
      <c r="P278" s="326"/>
    </row>
    <row r="279" spans="4:16" ht="12.75">
      <c r="D279" s="326"/>
      <c r="E279" s="326"/>
      <c r="F279" s="326"/>
      <c r="G279" s="326"/>
      <c r="H279" s="326"/>
      <c r="I279" s="326"/>
      <c r="J279" s="326"/>
      <c r="K279" s="326"/>
      <c r="L279" s="326"/>
      <c r="M279" s="326"/>
      <c r="N279" s="326"/>
      <c r="O279" s="326"/>
      <c r="P279" s="326"/>
    </row>
    <row r="280" spans="4:16" ht="12.75">
      <c r="D280" s="326"/>
      <c r="E280" s="326"/>
      <c r="F280" s="326"/>
      <c r="G280" s="326"/>
      <c r="H280" s="326"/>
      <c r="I280" s="326"/>
      <c r="J280" s="326"/>
      <c r="K280" s="326"/>
      <c r="L280" s="326"/>
      <c r="M280" s="326"/>
      <c r="N280" s="326"/>
      <c r="O280" s="326"/>
      <c r="P280" s="326"/>
    </row>
    <row r="281" spans="4:16" ht="12.75">
      <c r="D281" s="326"/>
      <c r="E281" s="326"/>
      <c r="F281" s="326"/>
      <c r="G281" s="326"/>
      <c r="H281" s="326"/>
      <c r="I281" s="326"/>
      <c r="J281" s="326"/>
      <c r="K281" s="326"/>
      <c r="L281" s="326"/>
      <c r="M281" s="326"/>
      <c r="N281" s="326"/>
      <c r="O281" s="326"/>
      <c r="P281" s="326"/>
    </row>
    <row r="282" spans="4:16" ht="12.75">
      <c r="D282" s="326"/>
      <c r="E282" s="326"/>
      <c r="F282" s="326"/>
      <c r="G282" s="326"/>
      <c r="H282" s="326"/>
      <c r="I282" s="326"/>
      <c r="J282" s="326"/>
      <c r="K282" s="326"/>
      <c r="L282" s="326"/>
      <c r="M282" s="326"/>
      <c r="N282" s="326"/>
      <c r="O282" s="326"/>
      <c r="P282" s="326"/>
    </row>
    <row r="283" spans="4:16" ht="12.75">
      <c r="D283" s="326"/>
      <c r="E283" s="326"/>
      <c r="F283" s="326"/>
      <c r="G283" s="326"/>
      <c r="H283" s="326"/>
      <c r="I283" s="326"/>
      <c r="J283" s="326"/>
      <c r="K283" s="326"/>
      <c r="L283" s="326"/>
      <c r="M283" s="326"/>
      <c r="N283" s="326"/>
      <c r="O283" s="326"/>
      <c r="P283" s="326"/>
    </row>
  </sheetData>
  <sheetProtection/>
  <mergeCells count="3">
    <mergeCell ref="B1:C1"/>
    <mergeCell ref="B7:C7"/>
    <mergeCell ref="D8:P8"/>
  </mergeCells>
  <printOptions/>
  <pageMargins left="0.75" right="0.75" top="1" bottom="1" header="0.5" footer="0.5"/>
  <pageSetup fitToHeight="1" fitToWidth="1" horizontalDpi="600" verticalDpi="600" orientation="landscape" paperSize="9" scale="39" r:id="rId4"/>
  <drawing r:id="rId3"/>
  <legacyDrawing r:id="rId2"/>
</worksheet>
</file>

<file path=xl/worksheets/sheet11.xml><?xml version="1.0" encoding="utf-8"?>
<worksheet xmlns="http://schemas.openxmlformats.org/spreadsheetml/2006/main" xmlns:r="http://schemas.openxmlformats.org/officeDocument/2006/relationships">
  <sheetPr>
    <tabColor rgb="FF92D050"/>
  </sheetPr>
  <dimension ref="B1:G37"/>
  <sheetViews>
    <sheetView zoomScalePageLayoutView="0" workbookViewId="0" topLeftCell="A1">
      <selection activeCell="E18" sqref="E18"/>
    </sheetView>
  </sheetViews>
  <sheetFormatPr defaultColWidth="9.140625" defaultRowHeight="12.75"/>
  <cols>
    <col min="1" max="1" width="12.140625" style="84" customWidth="1"/>
    <col min="2" max="2" width="21.00390625" style="84" customWidth="1"/>
    <col min="3" max="6" width="42.28125" style="84" customWidth="1"/>
    <col min="7" max="7" width="9.421875" style="84" customWidth="1"/>
    <col min="8" max="8" width="25.140625" style="84" customWidth="1"/>
    <col min="9" max="16384" width="9.140625" style="84" customWidth="1"/>
  </cols>
  <sheetData>
    <row r="1" spans="2:5" ht="20.25">
      <c r="B1" s="85" t="s">
        <v>142</v>
      </c>
      <c r="C1" s="85"/>
      <c r="D1" s="42"/>
      <c r="E1" s="42"/>
    </row>
    <row r="2" spans="2:5" ht="20.25">
      <c r="B2" s="157" t="str">
        <f>Tradingname</f>
        <v>Australian Gas Networks Limited</v>
      </c>
      <c r="C2" s="158"/>
      <c r="D2" s="85"/>
      <c r="E2" s="85"/>
    </row>
    <row r="3" spans="2:6" ht="34.5">
      <c r="B3" s="159" t="s">
        <v>184</v>
      </c>
      <c r="C3" s="160">
        <f>Yearending</f>
        <v>44926</v>
      </c>
      <c r="F3" s="119"/>
    </row>
    <row r="5" spans="2:5" ht="15.75">
      <c r="B5" s="88" t="s">
        <v>214</v>
      </c>
      <c r="C5" s="86"/>
      <c r="D5" s="86"/>
      <c r="E5" s="86"/>
    </row>
    <row r="6" spans="2:5" ht="15.75">
      <c r="B6" s="88"/>
      <c r="C6" s="86"/>
      <c r="D6" s="86"/>
      <c r="E6" s="86"/>
    </row>
    <row r="7" spans="2:6" ht="40.5" customHeight="1">
      <c r="B7" s="89" t="s">
        <v>223</v>
      </c>
      <c r="C7" s="89" t="s">
        <v>125</v>
      </c>
      <c r="D7" s="89" t="s">
        <v>130</v>
      </c>
      <c r="E7" s="89" t="s">
        <v>126</v>
      </c>
      <c r="F7" s="90" t="s">
        <v>128</v>
      </c>
    </row>
    <row r="8" spans="2:6" ht="12.75">
      <c r="B8" s="91"/>
      <c r="C8" s="91"/>
      <c r="D8" s="109"/>
      <c r="E8" s="126" t="s">
        <v>127</v>
      </c>
      <c r="F8" s="92"/>
    </row>
    <row r="9" spans="2:6" ht="25.5">
      <c r="B9" s="262" t="s">
        <v>447</v>
      </c>
      <c r="C9" s="179" t="s">
        <v>144</v>
      </c>
      <c r="D9" s="93" t="s">
        <v>439</v>
      </c>
      <c r="E9" s="263">
        <v>40</v>
      </c>
      <c r="F9" s="264" t="s">
        <v>467</v>
      </c>
    </row>
    <row r="10" spans="2:6" ht="12.75">
      <c r="B10" s="262" t="s">
        <v>447</v>
      </c>
      <c r="C10" s="179" t="s">
        <v>85</v>
      </c>
      <c r="D10" s="93" t="s">
        <v>439</v>
      </c>
      <c r="E10" s="263" t="s">
        <v>495</v>
      </c>
      <c r="F10" s="264"/>
    </row>
    <row r="11" spans="2:6" ht="25.5">
      <c r="B11" s="262" t="s">
        <v>447</v>
      </c>
      <c r="C11" s="179" t="s">
        <v>145</v>
      </c>
      <c r="D11" s="93" t="s">
        <v>439</v>
      </c>
      <c r="E11" s="263">
        <v>40</v>
      </c>
      <c r="F11" s="264" t="s">
        <v>467</v>
      </c>
    </row>
    <row r="12" spans="2:6" ht="12.75">
      <c r="B12" s="262" t="s">
        <v>447</v>
      </c>
      <c r="C12" s="179" t="s">
        <v>147</v>
      </c>
      <c r="D12" s="93" t="s">
        <v>439</v>
      </c>
      <c r="E12" s="263">
        <v>15</v>
      </c>
      <c r="F12" s="264" t="s">
        <v>478</v>
      </c>
    </row>
    <row r="13" spans="2:6" ht="12.75">
      <c r="B13" s="262" t="s">
        <v>447</v>
      </c>
      <c r="C13" s="179" t="s">
        <v>87</v>
      </c>
      <c r="D13" s="93"/>
      <c r="E13" s="263" t="s">
        <v>495</v>
      </c>
      <c r="F13" s="264"/>
    </row>
    <row r="14" spans="2:6" ht="12.75">
      <c r="B14" s="262" t="s">
        <v>447</v>
      </c>
      <c r="C14" s="179" t="s">
        <v>149</v>
      </c>
      <c r="D14" s="93" t="s">
        <v>439</v>
      </c>
      <c r="E14" s="263">
        <v>20</v>
      </c>
      <c r="F14" s="264" t="s">
        <v>478</v>
      </c>
    </row>
    <row r="15" spans="2:6" ht="12.75">
      <c r="B15" s="262" t="s">
        <v>447</v>
      </c>
      <c r="C15" s="179" t="s">
        <v>1</v>
      </c>
      <c r="D15" s="93" t="s">
        <v>439</v>
      </c>
      <c r="E15" s="263">
        <v>40</v>
      </c>
      <c r="F15" s="264" t="s">
        <v>478</v>
      </c>
    </row>
    <row r="16" spans="2:6" ht="12.75">
      <c r="B16" s="262" t="s">
        <v>447</v>
      </c>
      <c r="C16" s="179" t="s">
        <v>233</v>
      </c>
      <c r="D16" s="93" t="s">
        <v>439</v>
      </c>
      <c r="E16" s="263">
        <v>10</v>
      </c>
      <c r="F16" s="264" t="s">
        <v>478</v>
      </c>
    </row>
    <row r="17" spans="2:6" ht="12.75">
      <c r="B17" s="262" t="s">
        <v>447</v>
      </c>
      <c r="C17" s="179" t="s">
        <v>298</v>
      </c>
      <c r="D17" s="93" t="s">
        <v>439</v>
      </c>
      <c r="E17" s="263">
        <v>10</v>
      </c>
      <c r="F17" s="264" t="s">
        <v>478</v>
      </c>
    </row>
    <row r="18" spans="2:6" ht="25.5">
      <c r="B18" s="262" t="s">
        <v>447</v>
      </c>
      <c r="C18" s="179" t="s">
        <v>121</v>
      </c>
      <c r="D18" s="93" t="s">
        <v>439</v>
      </c>
      <c r="E18" s="263">
        <v>5</v>
      </c>
      <c r="F18" s="264" t="s">
        <v>467</v>
      </c>
    </row>
    <row r="19" spans="2:6" ht="12.75">
      <c r="B19" s="93"/>
      <c r="C19" s="93" t="s">
        <v>213</v>
      </c>
      <c r="D19" s="93"/>
      <c r="E19" s="93"/>
      <c r="F19" s="95"/>
    </row>
    <row r="20" spans="2:6" ht="12.75">
      <c r="B20" s="93"/>
      <c r="C20" s="93" t="s">
        <v>213</v>
      </c>
      <c r="D20" s="93"/>
      <c r="E20" s="93"/>
      <c r="F20" s="95"/>
    </row>
    <row r="21" spans="2:7" ht="12" customHeight="1">
      <c r="B21" s="93"/>
      <c r="C21" s="93" t="s">
        <v>213</v>
      </c>
      <c r="D21" s="93"/>
      <c r="E21" s="93"/>
      <c r="F21" s="95"/>
      <c r="G21" s="172"/>
    </row>
    <row r="22" spans="2:7" ht="12.75">
      <c r="B22" s="93"/>
      <c r="C22" s="93" t="s">
        <v>213</v>
      </c>
      <c r="D22" s="93"/>
      <c r="E22" s="93"/>
      <c r="F22" s="95"/>
      <c r="G22" s="172"/>
    </row>
    <row r="23" spans="2:7" ht="12.75">
      <c r="B23" s="93"/>
      <c r="C23" s="93" t="s">
        <v>213</v>
      </c>
      <c r="D23" s="93"/>
      <c r="E23" s="93"/>
      <c r="F23" s="95"/>
      <c r="G23" s="172"/>
    </row>
    <row r="24" spans="2:7" ht="12.75">
      <c r="B24" s="93"/>
      <c r="C24" s="93" t="s">
        <v>213</v>
      </c>
      <c r="D24" s="93"/>
      <c r="E24" s="93"/>
      <c r="F24" s="95"/>
      <c r="G24" s="172"/>
    </row>
    <row r="25" spans="2:7" ht="12.75">
      <c r="B25" s="93"/>
      <c r="C25" s="93" t="s">
        <v>213</v>
      </c>
      <c r="D25" s="93"/>
      <c r="E25" s="93"/>
      <c r="F25" s="95"/>
      <c r="G25" s="172"/>
    </row>
    <row r="26" spans="2:6" ht="12.75">
      <c r="B26" s="93"/>
      <c r="C26" s="93" t="s">
        <v>213</v>
      </c>
      <c r="D26" s="93"/>
      <c r="E26" s="93"/>
      <c r="F26" s="95"/>
    </row>
    <row r="27" spans="2:6" ht="12.75">
      <c r="B27" s="93"/>
      <c r="C27" s="93" t="s">
        <v>213</v>
      </c>
      <c r="D27" s="93"/>
      <c r="E27" s="93"/>
      <c r="F27" s="95"/>
    </row>
    <row r="28" spans="2:6" ht="12.75">
      <c r="B28" s="93"/>
      <c r="C28" s="93" t="s">
        <v>213</v>
      </c>
      <c r="D28" s="93"/>
      <c r="E28" s="93"/>
      <c r="F28" s="95"/>
    </row>
    <row r="29" spans="2:6" ht="12.75">
      <c r="B29" s="93"/>
      <c r="C29" s="93" t="s">
        <v>213</v>
      </c>
      <c r="D29" s="93"/>
      <c r="E29" s="93"/>
      <c r="F29" s="95"/>
    </row>
    <row r="30" spans="2:6" ht="12.75">
      <c r="B30" s="93"/>
      <c r="C30" s="93" t="s">
        <v>213</v>
      </c>
      <c r="D30" s="93"/>
      <c r="E30" s="93"/>
      <c r="F30" s="95"/>
    </row>
    <row r="31" spans="2:6" ht="12.75">
      <c r="B31" s="93"/>
      <c r="C31" s="93" t="s">
        <v>213</v>
      </c>
      <c r="D31" s="93"/>
      <c r="E31" s="93"/>
      <c r="F31" s="95"/>
    </row>
    <row r="32" spans="2:7" ht="12.75">
      <c r="B32" s="93"/>
      <c r="C32" s="93" t="s">
        <v>213</v>
      </c>
      <c r="D32" s="93"/>
      <c r="E32" s="93"/>
      <c r="F32" s="95"/>
      <c r="G32" s="172"/>
    </row>
    <row r="33" spans="2:7" ht="12.75">
      <c r="B33" s="93"/>
      <c r="C33" s="93" t="s">
        <v>213</v>
      </c>
      <c r="D33" s="93"/>
      <c r="E33" s="93"/>
      <c r="F33" s="95"/>
      <c r="G33" s="172"/>
    </row>
    <row r="34" spans="2:7" ht="12.75">
      <c r="B34" s="93"/>
      <c r="C34" s="93" t="s">
        <v>213</v>
      </c>
      <c r="D34" s="93"/>
      <c r="E34" s="93"/>
      <c r="F34" s="95"/>
      <c r="G34" s="172"/>
    </row>
    <row r="35" spans="2:7" ht="12.75">
      <c r="B35" s="93"/>
      <c r="C35" s="93" t="s">
        <v>213</v>
      </c>
      <c r="D35" s="93"/>
      <c r="E35" s="93"/>
      <c r="F35" s="95"/>
      <c r="G35" s="172"/>
    </row>
    <row r="36" spans="2:7" ht="12.75">
      <c r="B36" s="93"/>
      <c r="C36" s="93" t="s">
        <v>213</v>
      </c>
      <c r="D36" s="93"/>
      <c r="E36" s="93"/>
      <c r="F36" s="95"/>
      <c r="G36" s="172"/>
    </row>
    <row r="37" spans="2:7" ht="12.75">
      <c r="B37" s="93"/>
      <c r="C37" s="93" t="s">
        <v>213</v>
      </c>
      <c r="D37" s="93"/>
      <c r="E37" s="93"/>
      <c r="F37" s="95"/>
      <c r="G37" s="172"/>
    </row>
  </sheetData>
  <sheetProtection/>
  <printOptions/>
  <pageMargins left="0.75" right="0.75" top="1" bottom="1" header="0.5" footer="0.5"/>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H44"/>
  <sheetViews>
    <sheetView zoomScalePageLayoutView="0" workbookViewId="0" topLeftCell="A1">
      <selection activeCell="E5" sqref="E5"/>
    </sheetView>
  </sheetViews>
  <sheetFormatPr defaultColWidth="9.140625" defaultRowHeight="12.75"/>
  <cols>
    <col min="1" max="1" width="12.140625" style="84" customWidth="1"/>
    <col min="2" max="2" width="21.00390625" style="84" customWidth="1"/>
    <col min="3" max="3" width="42.28125" style="84" customWidth="1"/>
    <col min="4" max="4" width="43.7109375" style="84" bestFit="1" customWidth="1"/>
    <col min="5" max="5" width="22.57421875" style="84" customWidth="1"/>
    <col min="6" max="6" width="20.57421875" style="84" customWidth="1"/>
    <col min="7" max="7" width="22.57421875" style="84" customWidth="1"/>
    <col min="8" max="8" width="9.421875" style="84" customWidth="1"/>
    <col min="9" max="9" width="25.140625" style="84" customWidth="1"/>
    <col min="10" max="16384" width="9.140625" style="84" customWidth="1"/>
  </cols>
  <sheetData>
    <row r="1" spans="2:7" ht="20.25">
      <c r="B1" s="85" t="s">
        <v>121</v>
      </c>
      <c r="C1" s="85"/>
      <c r="D1" s="42"/>
      <c r="E1" s="42"/>
      <c r="F1" s="42"/>
      <c r="G1" s="42"/>
    </row>
    <row r="2" spans="2:7" ht="20.25">
      <c r="B2" s="157" t="str">
        <f>Tradingname</f>
        <v>Australian Gas Networks Limited</v>
      </c>
      <c r="C2" s="158"/>
      <c r="D2" s="85"/>
      <c r="E2" s="85"/>
      <c r="G2" s="85"/>
    </row>
    <row r="3" spans="2:3" ht="17.25" customHeight="1">
      <c r="B3" s="159" t="s">
        <v>184</v>
      </c>
      <c r="C3" s="160">
        <f>Yearending</f>
        <v>44926</v>
      </c>
    </row>
    <row r="5" spans="2:7" ht="15.75">
      <c r="B5" s="88" t="s">
        <v>266</v>
      </c>
      <c r="C5" s="86"/>
      <c r="D5" s="86"/>
      <c r="E5" s="86"/>
      <c r="F5" s="87"/>
      <c r="G5" s="86"/>
    </row>
    <row r="6" spans="2:7" ht="15.75">
      <c r="B6" s="88"/>
      <c r="C6" s="86"/>
      <c r="D6" s="86"/>
      <c r="E6" s="86"/>
      <c r="F6" s="87"/>
      <c r="G6" s="86"/>
    </row>
    <row r="7" spans="2:7" ht="40.5" customHeight="1">
      <c r="B7" s="89" t="s">
        <v>223</v>
      </c>
      <c r="C7" s="89" t="s">
        <v>172</v>
      </c>
      <c r="D7" s="89" t="s">
        <v>173</v>
      </c>
      <c r="E7" s="90" t="s">
        <v>174</v>
      </c>
      <c r="F7" s="90" t="s">
        <v>73</v>
      </c>
      <c r="G7" s="90" t="s">
        <v>137</v>
      </c>
    </row>
    <row r="8" spans="2:7" ht="12.75">
      <c r="B8" s="91"/>
      <c r="C8" s="91"/>
      <c r="D8" s="109"/>
      <c r="E8" s="63" t="s">
        <v>186</v>
      </c>
      <c r="F8" s="63"/>
      <c r="G8" s="63" t="s">
        <v>186</v>
      </c>
    </row>
    <row r="9" spans="2:7" ht="12.75">
      <c r="B9" s="267" t="s">
        <v>448</v>
      </c>
      <c r="C9" s="170" t="s">
        <v>440</v>
      </c>
      <c r="D9" s="170" t="s">
        <v>441</v>
      </c>
      <c r="E9" s="265">
        <v>8998226.500981698</v>
      </c>
      <c r="F9" s="166">
        <v>0.9871833029502586</v>
      </c>
      <c r="G9" s="254">
        <f aca="true" t="shared" si="0" ref="G9:G40">E9*F9</f>
        <v>8882898.95793366</v>
      </c>
    </row>
    <row r="10" spans="2:7" ht="12.75">
      <c r="B10" s="170"/>
      <c r="C10" s="170"/>
      <c r="D10" s="170"/>
      <c r="E10" s="94"/>
      <c r="F10" s="166"/>
      <c r="G10" s="117">
        <f t="shared" si="0"/>
        <v>0</v>
      </c>
    </row>
    <row r="11" spans="2:7" ht="12.75">
      <c r="B11" s="170"/>
      <c r="C11" s="170"/>
      <c r="D11" s="170"/>
      <c r="E11" s="94"/>
      <c r="F11" s="166"/>
      <c r="G11" s="117">
        <f t="shared" si="0"/>
        <v>0</v>
      </c>
    </row>
    <row r="12" spans="2:7" ht="12.75">
      <c r="B12" s="170"/>
      <c r="C12" s="170"/>
      <c r="D12" s="170"/>
      <c r="E12" s="94"/>
      <c r="F12" s="166"/>
      <c r="G12" s="117">
        <f t="shared" si="0"/>
        <v>0</v>
      </c>
    </row>
    <row r="13" spans="2:7" ht="12.75">
      <c r="B13" s="170"/>
      <c r="C13" s="170"/>
      <c r="D13" s="170"/>
      <c r="E13" s="94"/>
      <c r="F13" s="166"/>
      <c r="G13" s="117">
        <f t="shared" si="0"/>
        <v>0</v>
      </c>
    </row>
    <row r="14" spans="2:7" ht="12.75">
      <c r="B14" s="170"/>
      <c r="C14" s="170"/>
      <c r="D14" s="170"/>
      <c r="E14" s="94"/>
      <c r="F14" s="166"/>
      <c r="G14" s="117">
        <f t="shared" si="0"/>
        <v>0</v>
      </c>
    </row>
    <row r="15" spans="2:7" ht="12.75">
      <c r="B15" s="170"/>
      <c r="C15" s="170"/>
      <c r="D15" s="170"/>
      <c r="E15" s="94"/>
      <c r="F15" s="166"/>
      <c r="G15" s="117">
        <f>E15*F15</f>
        <v>0</v>
      </c>
    </row>
    <row r="16" spans="2:7" ht="12.75">
      <c r="B16" s="170"/>
      <c r="C16" s="170"/>
      <c r="D16" s="170"/>
      <c r="E16" s="94"/>
      <c r="F16" s="166"/>
      <c r="G16" s="117">
        <f t="shared" si="0"/>
        <v>0</v>
      </c>
    </row>
    <row r="17" spans="2:7" ht="12.75">
      <c r="B17" s="170"/>
      <c r="C17" s="170"/>
      <c r="D17" s="170"/>
      <c r="E17" s="94"/>
      <c r="F17" s="166"/>
      <c r="G17" s="117">
        <f t="shared" si="0"/>
        <v>0</v>
      </c>
    </row>
    <row r="18" spans="2:7" ht="12.75">
      <c r="B18" s="170"/>
      <c r="C18" s="170"/>
      <c r="D18" s="170"/>
      <c r="E18" s="94"/>
      <c r="F18" s="166"/>
      <c r="G18" s="117">
        <f t="shared" si="0"/>
        <v>0</v>
      </c>
    </row>
    <row r="19" spans="2:7" ht="12.75">
      <c r="B19" s="170"/>
      <c r="C19" s="170"/>
      <c r="D19" s="170"/>
      <c r="E19" s="94"/>
      <c r="F19" s="166"/>
      <c r="G19" s="117">
        <f t="shared" si="0"/>
        <v>0</v>
      </c>
    </row>
    <row r="20" spans="2:7" ht="12.75">
      <c r="B20" s="170"/>
      <c r="C20" s="170"/>
      <c r="D20" s="170"/>
      <c r="E20" s="94"/>
      <c r="F20" s="166"/>
      <c r="G20" s="117">
        <f t="shared" si="0"/>
        <v>0</v>
      </c>
    </row>
    <row r="21" spans="2:7" ht="12.75">
      <c r="B21" s="170"/>
      <c r="C21" s="170"/>
      <c r="D21" s="170"/>
      <c r="E21" s="94"/>
      <c r="F21" s="166"/>
      <c r="G21" s="117">
        <f t="shared" si="0"/>
        <v>0</v>
      </c>
    </row>
    <row r="22" spans="2:7" ht="12.75">
      <c r="B22" s="170"/>
      <c r="C22" s="170"/>
      <c r="D22" s="170"/>
      <c r="E22" s="94"/>
      <c r="F22" s="166"/>
      <c r="G22" s="117">
        <f t="shared" si="0"/>
        <v>0</v>
      </c>
    </row>
    <row r="23" spans="2:7" ht="12.75">
      <c r="B23" s="170"/>
      <c r="C23" s="170"/>
      <c r="D23" s="170"/>
      <c r="E23" s="94"/>
      <c r="F23" s="166"/>
      <c r="G23" s="117">
        <f t="shared" si="0"/>
        <v>0</v>
      </c>
    </row>
    <row r="24" spans="2:7" ht="12.75">
      <c r="B24" s="170"/>
      <c r="C24" s="170"/>
      <c r="D24" s="170"/>
      <c r="E24" s="94"/>
      <c r="F24" s="166"/>
      <c r="G24" s="117">
        <f>E24*F24</f>
        <v>0</v>
      </c>
    </row>
    <row r="25" spans="2:7" ht="12.75">
      <c r="B25" s="170"/>
      <c r="C25" s="170"/>
      <c r="D25" s="170"/>
      <c r="E25" s="94"/>
      <c r="F25" s="166"/>
      <c r="G25" s="117">
        <f t="shared" si="0"/>
        <v>0</v>
      </c>
    </row>
    <row r="26" spans="2:7" ht="12.75">
      <c r="B26" s="170"/>
      <c r="C26" s="170"/>
      <c r="D26" s="170"/>
      <c r="E26" s="94"/>
      <c r="F26" s="166"/>
      <c r="G26" s="117">
        <f t="shared" si="0"/>
        <v>0</v>
      </c>
    </row>
    <row r="27" spans="2:7" ht="12.75">
      <c r="B27" s="170"/>
      <c r="C27" s="170"/>
      <c r="D27" s="170"/>
      <c r="E27" s="94"/>
      <c r="F27" s="166"/>
      <c r="G27" s="117">
        <f t="shared" si="0"/>
        <v>0</v>
      </c>
    </row>
    <row r="28" spans="2:7" ht="12.75">
      <c r="B28" s="170"/>
      <c r="C28" s="170"/>
      <c r="D28" s="170"/>
      <c r="E28" s="94"/>
      <c r="F28" s="166"/>
      <c r="G28" s="117">
        <f t="shared" si="0"/>
        <v>0</v>
      </c>
    </row>
    <row r="29" spans="2:7" ht="12.75">
      <c r="B29" s="170"/>
      <c r="C29" s="170"/>
      <c r="D29" s="170"/>
      <c r="E29" s="94"/>
      <c r="F29" s="166"/>
      <c r="G29" s="117">
        <f t="shared" si="0"/>
        <v>0</v>
      </c>
    </row>
    <row r="30" spans="2:8" ht="12.75">
      <c r="B30" s="170"/>
      <c r="C30" s="170"/>
      <c r="D30" s="170"/>
      <c r="E30" s="94"/>
      <c r="F30" s="166"/>
      <c r="G30" s="117">
        <f t="shared" si="0"/>
        <v>0</v>
      </c>
      <c r="H30" s="238"/>
    </row>
    <row r="31" spans="2:8" ht="12.75">
      <c r="B31" s="170"/>
      <c r="C31" s="170"/>
      <c r="D31" s="170"/>
      <c r="E31" s="94"/>
      <c r="F31" s="166"/>
      <c r="G31" s="117">
        <f t="shared" si="0"/>
        <v>0</v>
      </c>
      <c r="H31" s="238"/>
    </row>
    <row r="32" spans="2:8" ht="12.75">
      <c r="B32" s="170"/>
      <c r="C32" s="170"/>
      <c r="D32" s="170"/>
      <c r="E32" s="94"/>
      <c r="F32" s="166"/>
      <c r="G32" s="117">
        <f t="shared" si="0"/>
        <v>0</v>
      </c>
      <c r="H32" s="238"/>
    </row>
    <row r="33" spans="2:8" ht="12.75">
      <c r="B33" s="170"/>
      <c r="C33" s="170"/>
      <c r="D33" s="170"/>
      <c r="E33" s="94"/>
      <c r="F33" s="166"/>
      <c r="G33" s="117">
        <f t="shared" si="0"/>
        <v>0</v>
      </c>
      <c r="H33" s="238"/>
    </row>
    <row r="34" spans="2:8" ht="12.75">
      <c r="B34" s="170"/>
      <c r="C34" s="170"/>
      <c r="D34" s="170"/>
      <c r="E34" s="94"/>
      <c r="F34" s="166"/>
      <c r="G34" s="117">
        <f t="shared" si="0"/>
        <v>0</v>
      </c>
      <c r="H34" s="238"/>
    </row>
    <row r="35" spans="2:8" ht="12.75">
      <c r="B35" s="170"/>
      <c r="C35" s="170"/>
      <c r="D35" s="170"/>
      <c r="E35" s="94"/>
      <c r="F35" s="166"/>
      <c r="G35" s="117">
        <f t="shared" si="0"/>
        <v>0</v>
      </c>
      <c r="H35" s="238"/>
    </row>
    <row r="36" spans="2:7" ht="12.75">
      <c r="B36" s="170"/>
      <c r="C36" s="170"/>
      <c r="D36" s="170"/>
      <c r="E36" s="94"/>
      <c r="F36" s="166"/>
      <c r="G36" s="117">
        <f t="shared" si="0"/>
        <v>0</v>
      </c>
    </row>
    <row r="37" spans="2:7" ht="12.75">
      <c r="B37" s="170"/>
      <c r="C37" s="170"/>
      <c r="D37" s="170"/>
      <c r="E37" s="94"/>
      <c r="F37" s="166"/>
      <c r="G37" s="117">
        <f t="shared" si="0"/>
        <v>0</v>
      </c>
    </row>
    <row r="38" spans="2:7" ht="12.75">
      <c r="B38" s="170"/>
      <c r="C38" s="170"/>
      <c r="D38" s="170"/>
      <c r="E38" s="94"/>
      <c r="F38" s="166"/>
      <c r="G38" s="117">
        <f t="shared" si="0"/>
        <v>0</v>
      </c>
    </row>
    <row r="39" spans="2:7" ht="12.75">
      <c r="B39" s="170"/>
      <c r="C39" s="170"/>
      <c r="D39" s="170"/>
      <c r="E39" s="94"/>
      <c r="F39" s="166"/>
      <c r="G39" s="117">
        <f t="shared" si="0"/>
        <v>0</v>
      </c>
    </row>
    <row r="40" spans="2:7" ht="12.75">
      <c r="B40" s="170"/>
      <c r="C40" s="170"/>
      <c r="D40" s="170"/>
      <c r="E40" s="94"/>
      <c r="F40" s="166"/>
      <c r="G40" s="117">
        <f t="shared" si="0"/>
        <v>0</v>
      </c>
    </row>
    <row r="41" spans="2:7" ht="12.75">
      <c r="B41" s="402" t="s">
        <v>25</v>
      </c>
      <c r="C41" s="403"/>
      <c r="D41" s="404"/>
      <c r="E41" s="117">
        <f>SUM(E9:E40)</f>
        <v>8998226.500981698</v>
      </c>
      <c r="F41" s="217"/>
      <c r="G41" s="117">
        <f>SUM(G9:G40)</f>
        <v>8882898.95793366</v>
      </c>
    </row>
    <row r="44" ht="12.75">
      <c r="B44" s="172"/>
    </row>
  </sheetData>
  <sheetProtection/>
  <mergeCells count="1">
    <mergeCell ref="B41:D41"/>
  </mergeCells>
  <printOptions/>
  <pageMargins left="0.75" right="0.75" top="1" bottom="1" header="0.5" footer="0.5"/>
  <pageSetup horizontalDpi="600" verticalDpi="600" orientation="landscape" paperSize="9" scale="30"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BI37"/>
  <sheetViews>
    <sheetView zoomScalePageLayoutView="0" workbookViewId="0" topLeftCell="A1">
      <selection activeCell="B9" sqref="B9"/>
    </sheetView>
  </sheetViews>
  <sheetFormatPr defaultColWidth="9.140625" defaultRowHeight="12.75"/>
  <cols>
    <col min="1" max="1" width="11.421875" style="0" customWidth="1"/>
    <col min="2" max="2" width="22.28125" style="0" customWidth="1"/>
    <col min="3" max="3" width="40.7109375" style="0" customWidth="1"/>
    <col min="4" max="4" width="50.57421875" style="0" customWidth="1"/>
    <col min="5" max="5" width="23.7109375" style="0" customWidth="1"/>
    <col min="6" max="13" width="9.421875" style="0" customWidth="1"/>
    <col min="29" max="29" width="9.140625" style="0" customWidth="1"/>
    <col min="46" max="46" width="9.140625" style="0" customWidth="1"/>
  </cols>
  <sheetData>
    <row r="1" ht="20.25">
      <c r="B1" s="96" t="s">
        <v>245</v>
      </c>
    </row>
    <row r="2" spans="2:3" ht="15">
      <c r="B2" s="157" t="str">
        <f>Tradingname</f>
        <v>Australian Gas Networks Limited</v>
      </c>
      <c r="C2" s="158"/>
    </row>
    <row r="3" spans="2:11" ht="19.5" customHeight="1">
      <c r="B3" s="159" t="s">
        <v>184</v>
      </c>
      <c r="C3" s="160">
        <f>Yearending</f>
        <v>44926</v>
      </c>
      <c r="K3" s="119"/>
    </row>
    <row r="4" ht="20.25">
      <c r="B4" s="96"/>
    </row>
    <row r="5" spans="2:5" ht="15.75">
      <c r="B5" s="97" t="s">
        <v>202</v>
      </c>
      <c r="D5" s="114"/>
      <c r="E5" s="114"/>
    </row>
    <row r="7" spans="2:61" ht="45" customHeight="1">
      <c r="B7" s="98" t="s">
        <v>223</v>
      </c>
      <c r="C7" s="99" t="s">
        <v>84</v>
      </c>
      <c r="D7" s="99"/>
      <c r="E7" s="113" t="s">
        <v>25</v>
      </c>
      <c r="F7" s="405" t="s">
        <v>83</v>
      </c>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142" t="s">
        <v>211</v>
      </c>
    </row>
    <row r="8" spans="2:60" ht="12.75">
      <c r="B8" s="177"/>
      <c r="C8" s="63"/>
      <c r="D8" s="63"/>
      <c r="E8" s="63"/>
      <c r="F8" s="112">
        <f>C36</f>
        <v>29221</v>
      </c>
      <c r="G8" s="112">
        <f>DATE(YEAR(F8)+1,MONTH(F8),DAY(F8))</f>
        <v>29587</v>
      </c>
      <c r="H8" s="112">
        <f aca="true" t="shared" si="0" ref="H8:X8">DATE(YEAR(G8)+1,MONTH(G8),DAY(G8))</f>
        <v>29952</v>
      </c>
      <c r="I8" s="112">
        <f t="shared" si="0"/>
        <v>30317</v>
      </c>
      <c r="J8" s="112">
        <f t="shared" si="0"/>
        <v>30682</v>
      </c>
      <c r="K8" s="112">
        <f t="shared" si="0"/>
        <v>31048</v>
      </c>
      <c r="L8" s="112">
        <f t="shared" si="0"/>
        <v>31413</v>
      </c>
      <c r="M8" s="112">
        <f t="shared" si="0"/>
        <v>31778</v>
      </c>
      <c r="N8" s="112">
        <f t="shared" si="0"/>
        <v>32143</v>
      </c>
      <c r="O8" s="112">
        <f t="shared" si="0"/>
        <v>32509</v>
      </c>
      <c r="P8" s="112">
        <f t="shared" si="0"/>
        <v>32874</v>
      </c>
      <c r="Q8" s="112">
        <f t="shared" si="0"/>
        <v>33239</v>
      </c>
      <c r="R8" s="112">
        <f t="shared" si="0"/>
        <v>33604</v>
      </c>
      <c r="S8" s="112">
        <f t="shared" si="0"/>
        <v>33970</v>
      </c>
      <c r="T8" s="112">
        <f t="shared" si="0"/>
        <v>34335</v>
      </c>
      <c r="U8" s="112">
        <f t="shared" si="0"/>
        <v>34700</v>
      </c>
      <c r="V8" s="112">
        <f t="shared" si="0"/>
        <v>35065</v>
      </c>
      <c r="W8" s="112">
        <f t="shared" si="0"/>
        <v>35431</v>
      </c>
      <c r="X8" s="112">
        <f t="shared" si="0"/>
        <v>35796</v>
      </c>
      <c r="Y8" s="112">
        <f>DATE(YEAR(X8)+1,MONTH(X8),DAY(X8))</f>
        <v>36161</v>
      </c>
      <c r="Z8" s="112">
        <f>DATE(YEAR(Y8)+1,MONTH(Y8),DAY(Y8))</f>
        <v>36526</v>
      </c>
      <c r="AA8" s="112">
        <f>DATE(YEAR(Z8)+1,MONTH(Z8),DAY(Z8))</f>
        <v>36892</v>
      </c>
      <c r="AB8" s="112">
        <f aca="true" t="shared" si="1" ref="AB8:AR8">DATE(YEAR(AA8)+1,MONTH(AA8),DAY(AA8))</f>
        <v>37257</v>
      </c>
      <c r="AC8" s="112">
        <f t="shared" si="1"/>
        <v>37622</v>
      </c>
      <c r="AD8" s="112">
        <f t="shared" si="1"/>
        <v>37987</v>
      </c>
      <c r="AE8" s="112">
        <f t="shared" si="1"/>
        <v>38353</v>
      </c>
      <c r="AF8" s="112">
        <f t="shared" si="1"/>
        <v>38718</v>
      </c>
      <c r="AG8" s="112">
        <f t="shared" si="1"/>
        <v>39083</v>
      </c>
      <c r="AH8" s="112">
        <f t="shared" si="1"/>
        <v>39448</v>
      </c>
      <c r="AI8" s="112">
        <f t="shared" si="1"/>
        <v>39814</v>
      </c>
      <c r="AJ8" s="112">
        <f t="shared" si="1"/>
        <v>40179</v>
      </c>
      <c r="AK8" s="112">
        <f t="shared" si="1"/>
        <v>40544</v>
      </c>
      <c r="AL8" s="112">
        <f t="shared" si="1"/>
        <v>40909</v>
      </c>
      <c r="AM8" s="112">
        <f t="shared" si="1"/>
        <v>41275</v>
      </c>
      <c r="AN8" s="112">
        <f t="shared" si="1"/>
        <v>41640</v>
      </c>
      <c r="AO8" s="112">
        <f t="shared" si="1"/>
        <v>42005</v>
      </c>
      <c r="AP8" s="112">
        <f t="shared" si="1"/>
        <v>42370</v>
      </c>
      <c r="AQ8" s="112">
        <f t="shared" si="1"/>
        <v>42736</v>
      </c>
      <c r="AR8" s="112">
        <f t="shared" si="1"/>
        <v>43101</v>
      </c>
      <c r="AS8" s="112">
        <f aca="true" t="shared" si="2" ref="AS8:BH8">DATE(YEAR(AR8)+1,MONTH(AR8),DAY(AR8))</f>
        <v>43466</v>
      </c>
      <c r="AT8" s="112">
        <f t="shared" si="2"/>
        <v>43831</v>
      </c>
      <c r="AU8" s="112">
        <f t="shared" si="2"/>
        <v>44197</v>
      </c>
      <c r="AV8" s="112">
        <f t="shared" si="2"/>
        <v>44562</v>
      </c>
      <c r="AW8" s="112">
        <f t="shared" si="2"/>
        <v>44927</v>
      </c>
      <c r="AX8" s="112">
        <f t="shared" si="2"/>
        <v>45292</v>
      </c>
      <c r="AY8" s="112">
        <f t="shared" si="2"/>
        <v>45658</v>
      </c>
      <c r="AZ8" s="112">
        <f t="shared" si="2"/>
        <v>46023</v>
      </c>
      <c r="BA8" s="112">
        <f t="shared" si="2"/>
        <v>46388</v>
      </c>
      <c r="BB8" s="112">
        <f t="shared" si="2"/>
        <v>46753</v>
      </c>
      <c r="BC8" s="112">
        <f t="shared" si="2"/>
        <v>47119</v>
      </c>
      <c r="BD8" s="112">
        <f t="shared" si="2"/>
        <v>47484</v>
      </c>
      <c r="BE8" s="112">
        <f t="shared" si="2"/>
        <v>47849</v>
      </c>
      <c r="BF8" s="112">
        <f t="shared" si="2"/>
        <v>48214</v>
      </c>
      <c r="BG8" s="112">
        <f t="shared" si="2"/>
        <v>48580</v>
      </c>
      <c r="BH8" s="112">
        <f t="shared" si="2"/>
        <v>48945</v>
      </c>
    </row>
    <row r="9" spans="2:60" ht="12.75">
      <c r="B9" s="269">
        <v>4.1</v>
      </c>
      <c r="C9" s="111" t="s">
        <v>70</v>
      </c>
      <c r="D9" s="100"/>
      <c r="E9" s="117"/>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row>
    <row r="10" spans="2:60" ht="12.75">
      <c r="B10" s="137"/>
      <c r="C10" s="111"/>
      <c r="D10" s="100" t="s">
        <v>75</v>
      </c>
      <c r="E10" s="117">
        <f aca="true" t="shared" si="3" ref="E10:E30">SUM(F10:BH10)</f>
        <v>0</v>
      </c>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row>
    <row r="11" spans="2:60" ht="12.75">
      <c r="B11" s="137"/>
      <c r="C11" s="111"/>
      <c r="D11" s="100" t="s">
        <v>171</v>
      </c>
      <c r="E11" s="117">
        <f>C37</f>
        <v>0</v>
      </c>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row>
    <row r="12" spans="2:60" ht="12.75">
      <c r="B12" s="137"/>
      <c r="C12" s="111"/>
      <c r="D12" s="100" t="s">
        <v>76</v>
      </c>
      <c r="E12" s="117">
        <f t="shared" si="3"/>
        <v>0</v>
      </c>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row>
    <row r="13" spans="2:60" ht="12.75">
      <c r="B13" s="137"/>
      <c r="C13" s="111"/>
      <c r="D13" s="100" t="s">
        <v>124</v>
      </c>
      <c r="E13" s="117">
        <f t="shared" si="3"/>
        <v>0</v>
      </c>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row>
    <row r="14" spans="2:60" ht="12.75">
      <c r="B14" s="137"/>
      <c r="C14" s="111"/>
      <c r="D14" s="100" t="s">
        <v>354</v>
      </c>
      <c r="E14" s="117">
        <f t="shared" si="3"/>
        <v>0</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row>
    <row r="15" spans="2:60" ht="12.75">
      <c r="B15" s="137"/>
      <c r="C15" s="111"/>
      <c r="D15" s="100" t="s">
        <v>79</v>
      </c>
      <c r="E15" s="117">
        <f t="shared" si="3"/>
        <v>0</v>
      </c>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row>
    <row r="16" spans="2:60" ht="12.75">
      <c r="B16" s="137"/>
      <c r="C16" s="111"/>
      <c r="D16" s="111" t="s">
        <v>77</v>
      </c>
      <c r="E16" s="117">
        <f t="shared" si="3"/>
        <v>0</v>
      </c>
      <c r="F16" s="116">
        <f>SUM(F9:F15)</f>
        <v>0</v>
      </c>
      <c r="G16" s="116">
        <f aca="true" t="shared" si="4" ref="G16:AK16">SUM(G9:G15)</f>
        <v>0</v>
      </c>
      <c r="H16" s="116">
        <f t="shared" si="4"/>
        <v>0</v>
      </c>
      <c r="I16" s="116">
        <f t="shared" si="4"/>
        <v>0</v>
      </c>
      <c r="J16" s="116">
        <f t="shared" si="4"/>
        <v>0</v>
      </c>
      <c r="K16" s="116">
        <f t="shared" si="4"/>
        <v>0</v>
      </c>
      <c r="L16" s="116">
        <f t="shared" si="4"/>
        <v>0</v>
      </c>
      <c r="M16" s="116">
        <f t="shared" si="4"/>
        <v>0</v>
      </c>
      <c r="N16" s="116">
        <f t="shared" si="4"/>
        <v>0</v>
      </c>
      <c r="O16" s="116">
        <f t="shared" si="4"/>
        <v>0</v>
      </c>
      <c r="P16" s="116">
        <f t="shared" si="4"/>
        <v>0</v>
      </c>
      <c r="Q16" s="116">
        <f t="shared" si="4"/>
        <v>0</v>
      </c>
      <c r="R16" s="116">
        <f t="shared" si="4"/>
        <v>0</v>
      </c>
      <c r="S16" s="116">
        <f t="shared" si="4"/>
        <v>0</v>
      </c>
      <c r="T16" s="116">
        <f t="shared" si="4"/>
        <v>0</v>
      </c>
      <c r="U16" s="116">
        <f t="shared" si="4"/>
        <v>0</v>
      </c>
      <c r="V16" s="116">
        <f t="shared" si="4"/>
        <v>0</v>
      </c>
      <c r="W16" s="116">
        <f t="shared" si="4"/>
        <v>0</v>
      </c>
      <c r="X16" s="116">
        <f t="shared" si="4"/>
        <v>0</v>
      </c>
      <c r="Y16" s="116">
        <f t="shared" si="4"/>
        <v>0</v>
      </c>
      <c r="Z16" s="116">
        <f t="shared" si="4"/>
        <v>0</v>
      </c>
      <c r="AA16" s="116">
        <f t="shared" si="4"/>
        <v>0</v>
      </c>
      <c r="AB16" s="116">
        <f t="shared" si="4"/>
        <v>0</v>
      </c>
      <c r="AC16" s="116">
        <f t="shared" si="4"/>
        <v>0</v>
      </c>
      <c r="AD16" s="116">
        <f t="shared" si="4"/>
        <v>0</v>
      </c>
      <c r="AE16" s="116">
        <f t="shared" si="4"/>
        <v>0</v>
      </c>
      <c r="AF16" s="116">
        <f t="shared" si="4"/>
        <v>0</v>
      </c>
      <c r="AG16" s="116">
        <f t="shared" si="4"/>
        <v>0</v>
      </c>
      <c r="AH16" s="116">
        <f t="shared" si="4"/>
        <v>0</v>
      </c>
      <c r="AI16" s="116">
        <f t="shared" si="4"/>
        <v>0</v>
      </c>
      <c r="AJ16" s="116">
        <f t="shared" si="4"/>
        <v>0</v>
      </c>
      <c r="AK16" s="116">
        <f t="shared" si="4"/>
        <v>0</v>
      </c>
      <c r="AL16" s="116">
        <f aca="true" t="shared" si="5" ref="AL16:BH16">SUM(AL9:AL15)</f>
        <v>0</v>
      </c>
      <c r="AM16" s="116">
        <f t="shared" si="5"/>
        <v>0</v>
      </c>
      <c r="AN16" s="116">
        <f t="shared" si="5"/>
        <v>0</v>
      </c>
      <c r="AO16" s="116">
        <f t="shared" si="5"/>
        <v>0</v>
      </c>
      <c r="AP16" s="116">
        <f t="shared" si="5"/>
        <v>0</v>
      </c>
      <c r="AQ16" s="116">
        <f t="shared" si="5"/>
        <v>0</v>
      </c>
      <c r="AR16" s="116">
        <f t="shared" si="5"/>
        <v>0</v>
      </c>
      <c r="AS16" s="116">
        <f t="shared" si="5"/>
        <v>0</v>
      </c>
      <c r="AT16" s="116">
        <f t="shared" si="5"/>
        <v>0</v>
      </c>
      <c r="AU16" s="116">
        <f t="shared" si="5"/>
        <v>0</v>
      </c>
      <c r="AV16" s="116">
        <f t="shared" si="5"/>
        <v>0</v>
      </c>
      <c r="AW16" s="116">
        <f t="shared" si="5"/>
        <v>0</v>
      </c>
      <c r="AX16" s="116">
        <f t="shared" si="5"/>
        <v>0</v>
      </c>
      <c r="AY16" s="116">
        <f t="shared" si="5"/>
        <v>0</v>
      </c>
      <c r="AZ16" s="116">
        <f t="shared" si="5"/>
        <v>0</v>
      </c>
      <c r="BA16" s="116">
        <f t="shared" si="5"/>
        <v>0</v>
      </c>
      <c r="BB16" s="116">
        <f t="shared" si="5"/>
        <v>0</v>
      </c>
      <c r="BC16" s="116">
        <f t="shared" si="5"/>
        <v>0</v>
      </c>
      <c r="BD16" s="116">
        <f t="shared" si="5"/>
        <v>0</v>
      </c>
      <c r="BE16" s="116">
        <f t="shared" si="5"/>
        <v>0</v>
      </c>
      <c r="BF16" s="116">
        <f t="shared" si="5"/>
        <v>0</v>
      </c>
      <c r="BG16" s="116">
        <f t="shared" si="5"/>
        <v>0</v>
      </c>
      <c r="BH16" s="116">
        <f t="shared" si="5"/>
        <v>0</v>
      </c>
    </row>
    <row r="17" spans="2:60" ht="12.75">
      <c r="B17" s="137"/>
      <c r="C17" s="111" t="s">
        <v>121</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row>
    <row r="18" spans="2:60" ht="25.5">
      <c r="B18" s="137"/>
      <c r="C18" s="111"/>
      <c r="D18" s="100" t="s">
        <v>168</v>
      </c>
      <c r="E18" s="117">
        <f>SUM(F18:BH18)</f>
        <v>0</v>
      </c>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row>
    <row r="19" spans="2:60" ht="12.75">
      <c r="B19" s="137"/>
      <c r="C19" s="111"/>
      <c r="D19" s="100" t="s">
        <v>76</v>
      </c>
      <c r="E19" s="117">
        <f t="shared" si="3"/>
        <v>0</v>
      </c>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row>
    <row r="20" spans="2:60" ht="12.75">
      <c r="B20" s="137"/>
      <c r="C20" s="111"/>
      <c r="D20" s="100" t="s">
        <v>124</v>
      </c>
      <c r="E20" s="117">
        <f t="shared" si="3"/>
        <v>0</v>
      </c>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row>
    <row r="21" spans="2:60" ht="12.75">
      <c r="B21" s="137"/>
      <c r="C21" s="111"/>
      <c r="D21" s="100" t="s">
        <v>354</v>
      </c>
      <c r="E21" s="117">
        <f t="shared" si="3"/>
        <v>0</v>
      </c>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row>
    <row r="22" spans="2:60" ht="12.75">
      <c r="B22" s="137"/>
      <c r="C22" s="111"/>
      <c r="D22" s="100" t="s">
        <v>79</v>
      </c>
      <c r="E22" s="117">
        <f t="shared" si="3"/>
        <v>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row>
    <row r="23" spans="2:60" ht="12.75">
      <c r="B23" s="137"/>
      <c r="C23" s="111"/>
      <c r="D23" s="111" t="s">
        <v>77</v>
      </c>
      <c r="E23" s="117">
        <f>SUM(F23:BH23)</f>
        <v>0</v>
      </c>
      <c r="F23" s="116">
        <f>SUM(F18:F22)</f>
        <v>0</v>
      </c>
      <c r="G23" s="116">
        <f aca="true" t="shared" si="6" ref="G23:AK23">SUM(G18:G22)</f>
        <v>0</v>
      </c>
      <c r="H23" s="116">
        <f t="shared" si="6"/>
        <v>0</v>
      </c>
      <c r="I23" s="116">
        <f t="shared" si="6"/>
        <v>0</v>
      </c>
      <c r="J23" s="116">
        <f t="shared" si="6"/>
        <v>0</v>
      </c>
      <c r="K23" s="116">
        <f t="shared" si="6"/>
        <v>0</v>
      </c>
      <c r="L23" s="116">
        <f t="shared" si="6"/>
        <v>0</v>
      </c>
      <c r="M23" s="116">
        <f t="shared" si="6"/>
        <v>0</v>
      </c>
      <c r="N23" s="116">
        <f t="shared" si="6"/>
        <v>0</v>
      </c>
      <c r="O23" s="116">
        <f t="shared" si="6"/>
        <v>0</v>
      </c>
      <c r="P23" s="116">
        <f t="shared" si="6"/>
        <v>0</v>
      </c>
      <c r="Q23" s="116">
        <f t="shared" si="6"/>
        <v>0</v>
      </c>
      <c r="R23" s="116">
        <f t="shared" si="6"/>
        <v>0</v>
      </c>
      <c r="S23" s="116">
        <f t="shared" si="6"/>
        <v>0</v>
      </c>
      <c r="T23" s="116">
        <f t="shared" si="6"/>
        <v>0</v>
      </c>
      <c r="U23" s="116">
        <f t="shared" si="6"/>
        <v>0</v>
      </c>
      <c r="V23" s="116">
        <f t="shared" si="6"/>
        <v>0</v>
      </c>
      <c r="W23" s="116">
        <f t="shared" si="6"/>
        <v>0</v>
      </c>
      <c r="X23" s="116">
        <f t="shared" si="6"/>
        <v>0</v>
      </c>
      <c r="Y23" s="116">
        <f t="shared" si="6"/>
        <v>0</v>
      </c>
      <c r="Z23" s="116">
        <f t="shared" si="6"/>
        <v>0</v>
      </c>
      <c r="AA23" s="116">
        <f t="shared" si="6"/>
        <v>0</v>
      </c>
      <c r="AB23" s="116">
        <f t="shared" si="6"/>
        <v>0</v>
      </c>
      <c r="AC23" s="116">
        <f t="shared" si="6"/>
        <v>0</v>
      </c>
      <c r="AD23" s="116">
        <f t="shared" si="6"/>
        <v>0</v>
      </c>
      <c r="AE23" s="116">
        <f t="shared" si="6"/>
        <v>0</v>
      </c>
      <c r="AF23" s="116">
        <f t="shared" si="6"/>
        <v>0</v>
      </c>
      <c r="AG23" s="116">
        <f t="shared" si="6"/>
        <v>0</v>
      </c>
      <c r="AH23" s="116">
        <f t="shared" si="6"/>
        <v>0</v>
      </c>
      <c r="AI23" s="116">
        <f t="shared" si="6"/>
        <v>0</v>
      </c>
      <c r="AJ23" s="116">
        <f t="shared" si="6"/>
        <v>0</v>
      </c>
      <c r="AK23" s="116">
        <f t="shared" si="6"/>
        <v>0</v>
      </c>
      <c r="AL23" s="116">
        <f aca="true" t="shared" si="7" ref="AL23:BH23">SUM(AL18:AL22)</f>
        <v>0</v>
      </c>
      <c r="AM23" s="116">
        <f t="shared" si="7"/>
        <v>0</v>
      </c>
      <c r="AN23" s="116">
        <f t="shared" si="7"/>
        <v>0</v>
      </c>
      <c r="AO23" s="116">
        <f t="shared" si="7"/>
        <v>0</v>
      </c>
      <c r="AP23" s="116">
        <f t="shared" si="7"/>
        <v>0</v>
      </c>
      <c r="AQ23" s="116">
        <f t="shared" si="7"/>
        <v>0</v>
      </c>
      <c r="AR23" s="116">
        <f t="shared" si="7"/>
        <v>0</v>
      </c>
      <c r="AS23" s="116">
        <f t="shared" si="7"/>
        <v>0</v>
      </c>
      <c r="AT23" s="116">
        <f t="shared" si="7"/>
        <v>0</v>
      </c>
      <c r="AU23" s="116">
        <f t="shared" si="7"/>
        <v>0</v>
      </c>
      <c r="AV23" s="116">
        <f t="shared" si="7"/>
        <v>0</v>
      </c>
      <c r="AW23" s="116">
        <f t="shared" si="7"/>
        <v>0</v>
      </c>
      <c r="AX23" s="116">
        <f t="shared" si="7"/>
        <v>0</v>
      </c>
      <c r="AY23" s="116">
        <f t="shared" si="7"/>
        <v>0</v>
      </c>
      <c r="AZ23" s="116">
        <f t="shared" si="7"/>
        <v>0</v>
      </c>
      <c r="BA23" s="116">
        <f t="shared" si="7"/>
        <v>0</v>
      </c>
      <c r="BB23" s="116">
        <f t="shared" si="7"/>
        <v>0</v>
      </c>
      <c r="BC23" s="116">
        <f t="shared" si="7"/>
        <v>0</v>
      </c>
      <c r="BD23" s="116">
        <f t="shared" si="7"/>
        <v>0</v>
      </c>
      <c r="BE23" s="116">
        <f t="shared" si="7"/>
        <v>0</v>
      </c>
      <c r="BF23" s="116">
        <f t="shared" si="7"/>
        <v>0</v>
      </c>
      <c r="BG23" s="116">
        <f t="shared" si="7"/>
        <v>0</v>
      </c>
      <c r="BH23" s="116">
        <f t="shared" si="7"/>
        <v>0</v>
      </c>
    </row>
    <row r="24" spans="2:60" ht="12.75">
      <c r="B24" s="137"/>
      <c r="C24" s="111"/>
      <c r="D24" s="111" t="s">
        <v>95</v>
      </c>
      <c r="E24" s="117">
        <f>E16+E23</f>
        <v>0</v>
      </c>
      <c r="F24" s="117">
        <f aca="true" t="shared" si="8" ref="F24:BH24">F16+F23</f>
        <v>0</v>
      </c>
      <c r="G24" s="117">
        <f t="shared" si="8"/>
        <v>0</v>
      </c>
      <c r="H24" s="117">
        <f t="shared" si="8"/>
        <v>0</v>
      </c>
      <c r="I24" s="117">
        <f t="shared" si="8"/>
        <v>0</v>
      </c>
      <c r="J24" s="117">
        <f t="shared" si="8"/>
        <v>0</v>
      </c>
      <c r="K24" s="117">
        <f t="shared" si="8"/>
        <v>0</v>
      </c>
      <c r="L24" s="117">
        <f t="shared" si="8"/>
        <v>0</v>
      </c>
      <c r="M24" s="117">
        <f t="shared" si="8"/>
        <v>0</v>
      </c>
      <c r="N24" s="117">
        <f t="shared" si="8"/>
        <v>0</v>
      </c>
      <c r="O24" s="117">
        <f t="shared" si="8"/>
        <v>0</v>
      </c>
      <c r="P24" s="117">
        <f t="shared" si="8"/>
        <v>0</v>
      </c>
      <c r="Q24" s="117">
        <f t="shared" si="8"/>
        <v>0</v>
      </c>
      <c r="R24" s="117">
        <f t="shared" si="8"/>
        <v>0</v>
      </c>
      <c r="S24" s="117">
        <f t="shared" si="8"/>
        <v>0</v>
      </c>
      <c r="T24" s="117">
        <f t="shared" si="8"/>
        <v>0</v>
      </c>
      <c r="U24" s="117">
        <f t="shared" si="8"/>
        <v>0</v>
      </c>
      <c r="V24" s="117">
        <f t="shared" si="8"/>
        <v>0</v>
      </c>
      <c r="W24" s="117">
        <f t="shared" si="8"/>
        <v>0</v>
      </c>
      <c r="X24" s="117">
        <f t="shared" si="8"/>
        <v>0</v>
      </c>
      <c r="Y24" s="117">
        <f t="shared" si="8"/>
        <v>0</v>
      </c>
      <c r="Z24" s="117">
        <f t="shared" si="8"/>
        <v>0</v>
      </c>
      <c r="AA24" s="117">
        <f t="shared" si="8"/>
        <v>0</v>
      </c>
      <c r="AB24" s="117">
        <f t="shared" si="8"/>
        <v>0</v>
      </c>
      <c r="AC24" s="117">
        <f t="shared" si="8"/>
        <v>0</v>
      </c>
      <c r="AD24" s="117">
        <f t="shared" si="8"/>
        <v>0</v>
      </c>
      <c r="AE24" s="117">
        <f t="shared" si="8"/>
        <v>0</v>
      </c>
      <c r="AF24" s="117">
        <f t="shared" si="8"/>
        <v>0</v>
      </c>
      <c r="AG24" s="117">
        <f t="shared" si="8"/>
        <v>0</v>
      </c>
      <c r="AH24" s="117">
        <f t="shared" si="8"/>
        <v>0</v>
      </c>
      <c r="AI24" s="117">
        <f t="shared" si="8"/>
        <v>0</v>
      </c>
      <c r="AJ24" s="117">
        <f t="shared" si="8"/>
        <v>0</v>
      </c>
      <c r="AK24" s="117">
        <f t="shared" si="8"/>
        <v>0</v>
      </c>
      <c r="AL24" s="117">
        <f t="shared" si="8"/>
        <v>0</v>
      </c>
      <c r="AM24" s="117">
        <f t="shared" si="8"/>
        <v>0</v>
      </c>
      <c r="AN24" s="117">
        <f t="shared" si="8"/>
        <v>0</v>
      </c>
      <c r="AO24" s="117">
        <f t="shared" si="8"/>
        <v>0</v>
      </c>
      <c r="AP24" s="117">
        <f t="shared" si="8"/>
        <v>0</v>
      </c>
      <c r="AQ24" s="117">
        <f t="shared" si="8"/>
        <v>0</v>
      </c>
      <c r="AR24" s="117">
        <f t="shared" si="8"/>
        <v>0</v>
      </c>
      <c r="AS24" s="117">
        <f t="shared" si="8"/>
        <v>0</v>
      </c>
      <c r="AT24" s="117">
        <f t="shared" si="8"/>
        <v>0</v>
      </c>
      <c r="AU24" s="117">
        <f t="shared" si="8"/>
        <v>0</v>
      </c>
      <c r="AV24" s="117">
        <f t="shared" si="8"/>
        <v>0</v>
      </c>
      <c r="AW24" s="117">
        <f t="shared" si="8"/>
        <v>0</v>
      </c>
      <c r="AX24" s="117">
        <f t="shared" si="8"/>
        <v>0</v>
      </c>
      <c r="AY24" s="117">
        <f t="shared" si="8"/>
        <v>0</v>
      </c>
      <c r="AZ24" s="117">
        <f t="shared" si="8"/>
        <v>0</v>
      </c>
      <c r="BA24" s="117">
        <f t="shared" si="8"/>
        <v>0</v>
      </c>
      <c r="BB24" s="117">
        <f t="shared" si="8"/>
        <v>0</v>
      </c>
      <c r="BC24" s="117">
        <f t="shared" si="8"/>
        <v>0</v>
      </c>
      <c r="BD24" s="117">
        <f t="shared" si="8"/>
        <v>0</v>
      </c>
      <c r="BE24" s="117">
        <f t="shared" si="8"/>
        <v>0</v>
      </c>
      <c r="BF24" s="117">
        <f t="shared" si="8"/>
        <v>0</v>
      </c>
      <c r="BG24" s="117">
        <f t="shared" si="8"/>
        <v>0</v>
      </c>
      <c r="BH24" s="117">
        <f t="shared" si="8"/>
        <v>0</v>
      </c>
    </row>
    <row r="25" spans="2:60" ht="12.75">
      <c r="B25" s="137"/>
      <c r="C25" s="111" t="s">
        <v>209</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row>
    <row r="26" spans="2:60" ht="12.75">
      <c r="B26" s="137"/>
      <c r="C26" s="111"/>
      <c r="D26" s="125" t="s">
        <v>118</v>
      </c>
      <c r="E26" s="117">
        <f t="shared" si="3"/>
        <v>0</v>
      </c>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row>
    <row r="27" spans="2:60" ht="12.75">
      <c r="B27" s="137"/>
      <c r="C27" s="111"/>
      <c r="D27" s="125" t="s">
        <v>119</v>
      </c>
      <c r="E27" s="117">
        <f t="shared" si="3"/>
        <v>0</v>
      </c>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row>
    <row r="28" spans="2:60" ht="12.75">
      <c r="B28" s="137"/>
      <c r="C28" s="111"/>
      <c r="D28" s="100" t="s">
        <v>355</v>
      </c>
      <c r="E28" s="117">
        <f t="shared" si="3"/>
        <v>0</v>
      </c>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row>
    <row r="29" spans="2:60" ht="12.75">
      <c r="B29" s="137"/>
      <c r="C29" s="111"/>
      <c r="D29" s="125" t="s">
        <v>120</v>
      </c>
      <c r="E29" s="117">
        <f t="shared" si="3"/>
        <v>0</v>
      </c>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row>
    <row r="30" spans="2:60" ht="12.75">
      <c r="B30" s="137"/>
      <c r="C30" s="111"/>
      <c r="D30" s="125" t="s">
        <v>169</v>
      </c>
      <c r="E30" s="117">
        <f t="shared" si="3"/>
        <v>0</v>
      </c>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row>
    <row r="31" spans="2:60" ht="12.75">
      <c r="B31" s="137"/>
      <c r="C31" s="111"/>
      <c r="D31" s="111" t="s">
        <v>170</v>
      </c>
      <c r="E31" s="117">
        <f>SUM(F31:BH31)</f>
        <v>0</v>
      </c>
      <c r="F31" s="116">
        <f>SUM(F26:F30)</f>
        <v>0</v>
      </c>
      <c r="G31" s="116">
        <f aca="true" t="shared" si="9" ref="G31:M31">SUM(G26:G30)</f>
        <v>0</v>
      </c>
      <c r="H31" s="116">
        <f t="shared" si="9"/>
        <v>0</v>
      </c>
      <c r="I31" s="116">
        <f t="shared" si="9"/>
        <v>0</v>
      </c>
      <c r="J31" s="116">
        <f t="shared" si="9"/>
        <v>0</v>
      </c>
      <c r="K31" s="116">
        <f t="shared" si="9"/>
        <v>0</v>
      </c>
      <c r="L31" s="116">
        <f t="shared" si="9"/>
        <v>0</v>
      </c>
      <c r="M31" s="116">
        <f t="shared" si="9"/>
        <v>0</v>
      </c>
      <c r="N31" s="116">
        <f>SUM(N26:N30)</f>
        <v>0</v>
      </c>
      <c r="O31" s="116">
        <f aca="true" t="shared" si="10" ref="O31:BE31">SUM(O26:O30)</f>
        <v>0</v>
      </c>
      <c r="P31" s="116">
        <f t="shared" si="10"/>
        <v>0</v>
      </c>
      <c r="Q31" s="116">
        <f t="shared" si="10"/>
        <v>0</v>
      </c>
      <c r="R31" s="116">
        <f t="shared" si="10"/>
        <v>0</v>
      </c>
      <c r="S31" s="116">
        <f t="shared" si="10"/>
        <v>0</v>
      </c>
      <c r="T31" s="116">
        <f t="shared" si="10"/>
        <v>0</v>
      </c>
      <c r="U31" s="116">
        <f t="shared" si="10"/>
        <v>0</v>
      </c>
      <c r="V31" s="116">
        <f t="shared" si="10"/>
        <v>0</v>
      </c>
      <c r="W31" s="116">
        <f t="shared" si="10"/>
        <v>0</v>
      </c>
      <c r="X31" s="116">
        <f t="shared" si="10"/>
        <v>0</v>
      </c>
      <c r="Y31" s="116">
        <f t="shared" si="10"/>
        <v>0</v>
      </c>
      <c r="Z31" s="116">
        <f t="shared" si="10"/>
        <v>0</v>
      </c>
      <c r="AA31" s="116">
        <f t="shared" si="10"/>
        <v>0</v>
      </c>
      <c r="AB31" s="116">
        <f>SUM(AB26:AB30)</f>
        <v>0</v>
      </c>
      <c r="AC31" s="116">
        <f t="shared" si="10"/>
        <v>0</v>
      </c>
      <c r="AD31" s="116">
        <f t="shared" si="10"/>
        <v>0</v>
      </c>
      <c r="AE31" s="116">
        <f t="shared" si="10"/>
        <v>0</v>
      </c>
      <c r="AF31" s="116">
        <f t="shared" si="10"/>
        <v>0</v>
      </c>
      <c r="AG31" s="116">
        <f t="shared" si="10"/>
        <v>0</v>
      </c>
      <c r="AH31" s="116">
        <f t="shared" si="10"/>
        <v>0</v>
      </c>
      <c r="AI31" s="116">
        <f t="shared" si="10"/>
        <v>0</v>
      </c>
      <c r="AJ31" s="116">
        <f t="shared" si="10"/>
        <v>0</v>
      </c>
      <c r="AK31" s="116">
        <f t="shared" si="10"/>
        <v>0</v>
      </c>
      <c r="AL31" s="116">
        <f t="shared" si="10"/>
        <v>0</v>
      </c>
      <c r="AM31" s="116">
        <f t="shared" si="10"/>
        <v>0</v>
      </c>
      <c r="AN31" s="116">
        <f t="shared" si="10"/>
        <v>0</v>
      </c>
      <c r="AO31" s="116">
        <f t="shared" si="10"/>
        <v>0</v>
      </c>
      <c r="AP31" s="116">
        <f t="shared" si="10"/>
        <v>0</v>
      </c>
      <c r="AQ31" s="116">
        <f t="shared" si="10"/>
        <v>0</v>
      </c>
      <c r="AR31" s="116">
        <f t="shared" si="10"/>
        <v>0</v>
      </c>
      <c r="AS31" s="116">
        <f t="shared" si="10"/>
        <v>0</v>
      </c>
      <c r="AT31" s="116">
        <f t="shared" si="10"/>
        <v>0</v>
      </c>
      <c r="AU31" s="116">
        <f t="shared" si="10"/>
        <v>0</v>
      </c>
      <c r="AV31" s="116">
        <f t="shared" si="10"/>
        <v>0</v>
      </c>
      <c r="AW31" s="116">
        <f t="shared" si="10"/>
        <v>0</v>
      </c>
      <c r="AX31" s="116">
        <f t="shared" si="10"/>
        <v>0</v>
      </c>
      <c r="AY31" s="116">
        <f t="shared" si="10"/>
        <v>0</v>
      </c>
      <c r="AZ31" s="116">
        <f t="shared" si="10"/>
        <v>0</v>
      </c>
      <c r="BA31" s="116">
        <f t="shared" si="10"/>
        <v>0</v>
      </c>
      <c r="BB31" s="116">
        <f t="shared" si="10"/>
        <v>0</v>
      </c>
      <c r="BC31" s="116">
        <f t="shared" si="10"/>
        <v>0</v>
      </c>
      <c r="BD31" s="116">
        <f t="shared" si="10"/>
        <v>0</v>
      </c>
      <c r="BE31" s="116">
        <f t="shared" si="10"/>
        <v>0</v>
      </c>
      <c r="BF31" s="116">
        <f>SUM(BF26:BF30)</f>
        <v>0</v>
      </c>
      <c r="BG31" s="116">
        <f>SUM(BG26:BG30)</f>
        <v>0</v>
      </c>
      <c r="BH31" s="116">
        <f>SUM(BH26:BH30)</f>
        <v>0</v>
      </c>
    </row>
    <row r="32" spans="2:60" ht="36" customHeight="1">
      <c r="B32" s="102"/>
      <c r="C32" s="101"/>
      <c r="D32" s="178" t="s">
        <v>210</v>
      </c>
      <c r="E32" s="117">
        <f>SUM(F32:BH32)</f>
        <v>0</v>
      </c>
      <c r="F32" s="116">
        <f>F16+F23-F31</f>
        <v>0</v>
      </c>
      <c r="G32" s="116">
        <f>G16+G23-G31</f>
        <v>0</v>
      </c>
      <c r="H32" s="116">
        <f>H16+H23-H31</f>
        <v>0</v>
      </c>
      <c r="I32" s="116">
        <f aca="true" t="shared" si="11" ref="I32:BH32">I16+I23-I31</f>
        <v>0</v>
      </c>
      <c r="J32" s="116">
        <f t="shared" si="11"/>
        <v>0</v>
      </c>
      <c r="K32" s="116">
        <f t="shared" si="11"/>
        <v>0</v>
      </c>
      <c r="L32" s="116">
        <f t="shared" si="11"/>
        <v>0</v>
      </c>
      <c r="M32" s="116">
        <f t="shared" si="11"/>
        <v>0</v>
      </c>
      <c r="N32" s="116">
        <f t="shared" si="11"/>
        <v>0</v>
      </c>
      <c r="O32" s="116">
        <f t="shared" si="11"/>
        <v>0</v>
      </c>
      <c r="P32" s="116">
        <f t="shared" si="11"/>
        <v>0</v>
      </c>
      <c r="Q32" s="116">
        <f t="shared" si="11"/>
        <v>0</v>
      </c>
      <c r="R32" s="116">
        <f t="shared" si="11"/>
        <v>0</v>
      </c>
      <c r="S32" s="116">
        <f t="shared" si="11"/>
        <v>0</v>
      </c>
      <c r="T32" s="116">
        <f t="shared" si="11"/>
        <v>0</v>
      </c>
      <c r="U32" s="116">
        <f t="shared" si="11"/>
        <v>0</v>
      </c>
      <c r="V32" s="116">
        <f t="shared" si="11"/>
        <v>0</v>
      </c>
      <c r="W32" s="116">
        <f t="shared" si="11"/>
        <v>0</v>
      </c>
      <c r="X32" s="116">
        <f t="shared" si="11"/>
        <v>0</v>
      </c>
      <c r="Y32" s="116">
        <f t="shared" si="11"/>
        <v>0</v>
      </c>
      <c r="Z32" s="116">
        <f t="shared" si="11"/>
        <v>0</v>
      </c>
      <c r="AA32" s="116">
        <f t="shared" si="11"/>
        <v>0</v>
      </c>
      <c r="AB32" s="116">
        <f t="shared" si="11"/>
        <v>0</v>
      </c>
      <c r="AC32" s="116">
        <f t="shared" si="11"/>
        <v>0</v>
      </c>
      <c r="AD32" s="116">
        <f t="shared" si="11"/>
        <v>0</v>
      </c>
      <c r="AE32" s="116">
        <f t="shared" si="11"/>
        <v>0</v>
      </c>
      <c r="AF32" s="116">
        <f t="shared" si="11"/>
        <v>0</v>
      </c>
      <c r="AG32" s="116">
        <f t="shared" si="11"/>
        <v>0</v>
      </c>
      <c r="AH32" s="116">
        <f t="shared" si="11"/>
        <v>0</v>
      </c>
      <c r="AI32" s="116">
        <f t="shared" si="11"/>
        <v>0</v>
      </c>
      <c r="AJ32" s="116">
        <f t="shared" si="11"/>
        <v>0</v>
      </c>
      <c r="AK32" s="116">
        <f t="shared" si="11"/>
        <v>0</v>
      </c>
      <c r="AL32" s="116">
        <f t="shared" si="11"/>
        <v>0</v>
      </c>
      <c r="AM32" s="116">
        <f t="shared" si="11"/>
        <v>0</v>
      </c>
      <c r="AN32" s="116">
        <f t="shared" si="11"/>
        <v>0</v>
      </c>
      <c r="AO32" s="116">
        <f t="shared" si="11"/>
        <v>0</v>
      </c>
      <c r="AP32" s="116">
        <f t="shared" si="11"/>
        <v>0</v>
      </c>
      <c r="AQ32" s="116">
        <f t="shared" si="11"/>
        <v>0</v>
      </c>
      <c r="AR32" s="116">
        <f t="shared" si="11"/>
        <v>0</v>
      </c>
      <c r="AS32" s="116">
        <f t="shared" si="11"/>
        <v>0</v>
      </c>
      <c r="AT32" s="116">
        <f t="shared" si="11"/>
        <v>0</v>
      </c>
      <c r="AU32" s="116">
        <f t="shared" si="11"/>
        <v>0</v>
      </c>
      <c r="AV32" s="116">
        <f t="shared" si="11"/>
        <v>0</v>
      </c>
      <c r="AW32" s="116">
        <f t="shared" si="11"/>
        <v>0</v>
      </c>
      <c r="AX32" s="116">
        <f t="shared" si="11"/>
        <v>0</v>
      </c>
      <c r="AY32" s="116">
        <f t="shared" si="11"/>
        <v>0</v>
      </c>
      <c r="AZ32" s="116">
        <f t="shared" si="11"/>
        <v>0</v>
      </c>
      <c r="BA32" s="116">
        <f t="shared" si="11"/>
        <v>0</v>
      </c>
      <c r="BB32" s="116">
        <f t="shared" si="11"/>
        <v>0</v>
      </c>
      <c r="BC32" s="116">
        <f t="shared" si="11"/>
        <v>0</v>
      </c>
      <c r="BD32" s="116">
        <f t="shared" si="11"/>
        <v>0</v>
      </c>
      <c r="BE32" s="116">
        <f>BE16+BE23-BE31</f>
        <v>0</v>
      </c>
      <c r="BF32" s="116">
        <f t="shared" si="11"/>
        <v>0</v>
      </c>
      <c r="BG32" s="116">
        <f t="shared" si="11"/>
        <v>0</v>
      </c>
      <c r="BH32" s="116">
        <f t="shared" si="11"/>
        <v>0</v>
      </c>
    </row>
    <row r="33" ht="29.25" customHeight="1"/>
    <row r="34" spans="2:3" ht="15.75">
      <c r="B34" s="64" t="s">
        <v>222</v>
      </c>
      <c r="C34" s="43"/>
    </row>
    <row r="35" spans="2:3" ht="12.75">
      <c r="B35" s="45"/>
      <c r="C35" s="48"/>
    </row>
    <row r="36" spans="2:3" ht="12.75">
      <c r="B36" s="106" t="s">
        <v>138</v>
      </c>
      <c r="C36" s="180">
        <v>29221</v>
      </c>
    </row>
    <row r="37" spans="2:3" ht="12.75">
      <c r="B37" s="106" t="s">
        <v>171</v>
      </c>
      <c r="C37" s="156"/>
    </row>
  </sheetData>
  <sheetProtection/>
  <mergeCells count="1">
    <mergeCell ref="F7:BH7"/>
  </mergeCells>
  <printOptions/>
  <pageMargins left="0.75" right="0.75" top="1" bottom="1" header="0.5" footer="0.5"/>
  <pageSetup horizontalDpi="600" verticalDpi="600" orientation="landscape" paperSize="9" scale="30" r:id="rId4"/>
  <ignoredErrors>
    <ignoredError sqref="E11" formula="1"/>
  </ignoredErrors>
  <drawing r:id="rId3"/>
  <legacyDrawing r:id="rId2"/>
</worksheet>
</file>

<file path=xl/worksheets/sheet14.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D2" sqref="D2"/>
    </sheetView>
  </sheetViews>
  <sheetFormatPr defaultColWidth="9.140625" defaultRowHeight="12.75"/>
  <cols>
    <col min="1" max="1" width="12.140625" style="84" customWidth="1"/>
    <col min="2" max="2" width="21.00390625" style="84" customWidth="1"/>
    <col min="3" max="5" width="42.28125" style="84" customWidth="1"/>
    <col min="6" max="6" width="9.421875" style="84" customWidth="1"/>
    <col min="7" max="7" width="25.140625" style="84" customWidth="1"/>
    <col min="8" max="16384" width="9.140625" style="84" customWidth="1"/>
  </cols>
  <sheetData>
    <row r="1" spans="2:5" ht="20.25">
      <c r="B1" s="398" t="s">
        <v>203</v>
      </c>
      <c r="C1" s="398"/>
      <c r="D1" s="42"/>
      <c r="E1" s="42"/>
    </row>
    <row r="2" spans="2:5" ht="20.25">
      <c r="B2" s="157" t="str">
        <f>Tradingname</f>
        <v>Australian Gas Networks Limited</v>
      </c>
      <c r="C2" s="158"/>
      <c r="D2" s="85"/>
      <c r="E2" s="85"/>
    </row>
    <row r="3" spans="2:5" ht="15.75" customHeight="1">
      <c r="B3" s="159" t="s">
        <v>184</v>
      </c>
      <c r="C3" s="160">
        <f>Yearending</f>
        <v>44926</v>
      </c>
      <c r="E3" s="119"/>
    </row>
    <row r="4" ht="20.25">
      <c r="B4" s="41"/>
    </row>
    <row r="5" spans="2:5" ht="15.75">
      <c r="B5" s="88" t="s">
        <v>225</v>
      </c>
      <c r="C5" s="86"/>
      <c r="D5" s="86"/>
      <c r="E5" s="86"/>
    </row>
    <row r="6" spans="2:5" ht="15.75">
      <c r="B6" s="88"/>
      <c r="C6" s="86"/>
      <c r="D6" s="86"/>
      <c r="E6" s="86"/>
    </row>
    <row r="7" spans="2:5" ht="25.5">
      <c r="B7" s="89" t="s">
        <v>223</v>
      </c>
      <c r="C7" s="89" t="s">
        <v>175</v>
      </c>
      <c r="D7" s="89" t="s">
        <v>176</v>
      </c>
      <c r="E7" s="89" t="s">
        <v>212</v>
      </c>
    </row>
    <row r="8" spans="2:5" ht="12.75">
      <c r="B8" s="262" t="s">
        <v>449</v>
      </c>
      <c r="C8" s="93"/>
      <c r="D8" s="93"/>
      <c r="E8" s="93"/>
    </row>
    <row r="9" spans="2:5" ht="12.75">
      <c r="B9" s="93"/>
      <c r="C9" s="93"/>
      <c r="D9" s="93"/>
      <c r="E9" s="93"/>
    </row>
    <row r="10" spans="2:5" ht="12.75">
      <c r="B10" s="93"/>
      <c r="C10" s="93"/>
      <c r="D10" s="93"/>
      <c r="E10" s="93"/>
    </row>
    <row r="11" spans="2:5" ht="12.75">
      <c r="B11" s="93"/>
      <c r="C11" s="93"/>
      <c r="D11" s="218"/>
      <c r="E11" s="93"/>
    </row>
    <row r="12" spans="2:5" ht="12.75">
      <c r="B12" s="93"/>
      <c r="C12" s="93"/>
      <c r="D12" s="93"/>
      <c r="E12" s="93"/>
    </row>
    <row r="13" spans="2:5" ht="12.75">
      <c r="B13" s="93"/>
      <c r="C13" s="93"/>
      <c r="D13" s="93"/>
      <c r="E13" s="93"/>
    </row>
    <row r="14" spans="2:5" ht="12.75">
      <c r="B14" s="93"/>
      <c r="C14" s="93"/>
      <c r="D14" s="93"/>
      <c r="E14" s="93"/>
    </row>
    <row r="15" spans="2:5" ht="12.75">
      <c r="B15" s="93"/>
      <c r="C15" s="93"/>
      <c r="D15" s="93"/>
      <c r="E15" s="93"/>
    </row>
    <row r="16" spans="2:5" ht="12.75">
      <c r="B16" s="93"/>
      <c r="C16" s="93"/>
      <c r="D16" s="93"/>
      <c r="E16" s="93"/>
    </row>
    <row r="17" spans="2:5" ht="12.75">
      <c r="B17" s="93"/>
      <c r="C17" s="93"/>
      <c r="D17" s="93"/>
      <c r="E17" s="93"/>
    </row>
    <row r="18" spans="2:5" ht="12.75">
      <c r="B18" s="93"/>
      <c r="C18" s="93"/>
      <c r="D18" s="93"/>
      <c r="E18" s="93"/>
    </row>
    <row r="19" spans="2:5" ht="12.75">
      <c r="B19" s="93"/>
      <c r="C19" s="93"/>
      <c r="D19" s="93"/>
      <c r="E19" s="93"/>
    </row>
    <row r="20" spans="2:5" ht="12.75">
      <c r="B20" s="93"/>
      <c r="C20" s="93"/>
      <c r="D20" s="93"/>
      <c r="E20" s="93"/>
    </row>
    <row r="21" spans="2:5" ht="12.75">
      <c r="B21" s="93"/>
      <c r="C21" s="93"/>
      <c r="D21" s="93"/>
      <c r="E21" s="93"/>
    </row>
    <row r="22" spans="2:5" ht="12.75">
      <c r="B22" s="93"/>
      <c r="C22" s="93"/>
      <c r="D22" s="93"/>
      <c r="E22" s="93"/>
    </row>
    <row r="23" spans="2:5" ht="12.75">
      <c r="B23" s="93"/>
      <c r="C23" s="93"/>
      <c r="D23" s="93"/>
      <c r="E23" s="93"/>
    </row>
    <row r="24" spans="2:5" ht="12.75">
      <c r="B24" s="93"/>
      <c r="C24" s="93"/>
      <c r="D24" s="93"/>
      <c r="E24" s="93"/>
    </row>
    <row r="25" spans="2:5" ht="12.75">
      <c r="B25" s="93"/>
      <c r="C25" s="93"/>
      <c r="D25" s="93"/>
      <c r="E25" s="93"/>
    </row>
    <row r="26" spans="2:5" ht="12.75">
      <c r="B26" s="93"/>
      <c r="C26" s="93"/>
      <c r="D26" s="93"/>
      <c r="E26" s="93"/>
    </row>
    <row r="27" spans="2:5" ht="12.75">
      <c r="B27" s="93"/>
      <c r="C27" s="93"/>
      <c r="D27" s="93"/>
      <c r="E27" s="93"/>
    </row>
    <row r="28" spans="2:5" ht="12.75">
      <c r="B28" s="93"/>
      <c r="C28" s="93"/>
      <c r="D28" s="93"/>
      <c r="E28" s="93"/>
    </row>
    <row r="29" spans="2:5" ht="12.75">
      <c r="B29" s="93"/>
      <c r="C29" s="93"/>
      <c r="D29" s="93"/>
      <c r="E29" s="93"/>
    </row>
    <row r="30" spans="2:5" ht="12.75">
      <c r="B30" s="93"/>
      <c r="C30" s="93"/>
      <c r="D30" s="93"/>
      <c r="E30" s="93"/>
    </row>
    <row r="31" spans="2:5" ht="12.75">
      <c r="B31" s="93"/>
      <c r="C31" s="93"/>
      <c r="D31" s="93"/>
      <c r="E31" s="93"/>
    </row>
    <row r="32" spans="2:5" ht="12.75">
      <c r="B32" s="93"/>
      <c r="C32" s="93"/>
      <c r="D32" s="93"/>
      <c r="E32" s="93"/>
    </row>
    <row r="33" spans="2:5" ht="12.75">
      <c r="B33" s="93"/>
      <c r="C33" s="93"/>
      <c r="D33" s="93"/>
      <c r="E33" s="93"/>
    </row>
    <row r="34" spans="2:5" ht="12.75">
      <c r="B34" s="93"/>
      <c r="C34" s="93"/>
      <c r="D34" s="93"/>
      <c r="E34" s="93"/>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B6" sqref="B6"/>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16384" width="9.140625" style="43" customWidth="1"/>
  </cols>
  <sheetData>
    <row r="1" spans="2:4" ht="20.25">
      <c r="B1" s="412" t="s">
        <v>204</v>
      </c>
      <c r="C1" s="412"/>
      <c r="D1" s="413"/>
    </row>
    <row r="3" ht="20.25">
      <c r="B3" s="41"/>
    </row>
    <row r="5" spans="2:4" ht="15.75">
      <c r="B5" s="394" t="s">
        <v>207</v>
      </c>
      <c r="C5" s="394"/>
      <c r="D5" s="394"/>
    </row>
    <row r="7" spans="2:60" s="61" customFormat="1" ht="12.75">
      <c r="B7" s="89"/>
      <c r="C7" s="89"/>
      <c r="D7" s="422" t="s">
        <v>98</v>
      </c>
      <c r="E7" s="423"/>
      <c r="F7" s="423"/>
      <c r="G7" s="423"/>
      <c r="H7" s="423"/>
      <c r="I7" s="423"/>
      <c r="J7" s="416" t="s">
        <v>99</v>
      </c>
      <c r="K7" s="417"/>
      <c r="L7" s="417"/>
      <c r="M7" s="417"/>
      <c r="N7" s="417"/>
      <c r="O7" s="417"/>
      <c r="P7" s="418"/>
      <c r="Q7" s="414" t="s">
        <v>100</v>
      </c>
      <c r="R7" s="414"/>
      <c r="S7" s="414"/>
      <c r="T7" s="414"/>
      <c r="U7" s="414"/>
      <c r="V7" s="414"/>
      <c r="W7" s="414"/>
      <c r="X7" s="414"/>
      <c r="Y7" s="414"/>
      <c r="Z7" s="414"/>
      <c r="AA7" s="414"/>
      <c r="AB7" s="414"/>
      <c r="AC7" s="414"/>
      <c r="AD7" s="414"/>
      <c r="AE7" s="414"/>
      <c r="AF7" s="414"/>
      <c r="AG7" s="414"/>
      <c r="AH7" s="414"/>
      <c r="AI7" s="414"/>
      <c r="AJ7" s="407" t="s">
        <v>101</v>
      </c>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row>
    <row r="8" spans="2:60" s="50" customFormat="1" ht="26.25" customHeight="1">
      <c r="B8" s="89"/>
      <c r="C8" s="89"/>
      <c r="D8" s="89"/>
      <c r="E8" s="89"/>
      <c r="F8" s="89"/>
      <c r="G8" s="89"/>
      <c r="H8" s="89"/>
      <c r="I8" s="89"/>
      <c r="J8" s="89"/>
      <c r="K8" s="89"/>
      <c r="L8" s="89"/>
      <c r="M8" s="89"/>
      <c r="N8" s="89"/>
      <c r="O8" s="89"/>
      <c r="P8" s="89"/>
      <c r="Q8" s="89"/>
      <c r="R8" s="409" t="s">
        <v>102</v>
      </c>
      <c r="S8" s="410"/>
      <c r="T8" s="410"/>
      <c r="U8" s="410"/>
      <c r="V8" s="410"/>
      <c r="W8" s="411"/>
      <c r="X8" s="409" t="s">
        <v>103</v>
      </c>
      <c r="Y8" s="410"/>
      <c r="Z8" s="410"/>
      <c r="AA8" s="410"/>
      <c r="AB8" s="410"/>
      <c r="AC8" s="411"/>
      <c r="AD8" s="409" t="s">
        <v>104</v>
      </c>
      <c r="AE8" s="410"/>
      <c r="AF8" s="410"/>
      <c r="AG8" s="410"/>
      <c r="AH8" s="411"/>
      <c r="AI8" s="89"/>
      <c r="AJ8" s="89"/>
      <c r="AK8" s="409" t="s">
        <v>105</v>
      </c>
      <c r="AL8" s="410"/>
      <c r="AM8" s="410"/>
      <c r="AN8" s="410"/>
      <c r="AO8" s="410"/>
      <c r="AP8" s="411"/>
      <c r="AQ8" s="409" t="s">
        <v>106</v>
      </c>
      <c r="AR8" s="410"/>
      <c r="AS8" s="410"/>
      <c r="AT8" s="410"/>
      <c r="AU8" s="410"/>
      <c r="AV8" s="411"/>
      <c r="AW8" s="409" t="s">
        <v>107</v>
      </c>
      <c r="AX8" s="410"/>
      <c r="AY8" s="410"/>
      <c r="AZ8" s="410"/>
      <c r="BA8" s="410"/>
      <c r="BB8" s="411"/>
      <c r="BC8" s="409" t="s">
        <v>108</v>
      </c>
      <c r="BD8" s="410"/>
      <c r="BE8" s="410"/>
      <c r="BF8" s="410"/>
      <c r="BG8" s="410"/>
      <c r="BH8" s="411"/>
    </row>
    <row r="9" spans="2:60" s="50" customFormat="1" ht="32.25" customHeight="1">
      <c r="B9" s="89"/>
      <c r="C9" s="89" t="s">
        <v>22</v>
      </c>
      <c r="D9" s="420" t="s">
        <v>109</v>
      </c>
      <c r="E9" s="421"/>
      <c r="F9" s="421"/>
      <c r="G9" s="419" t="s">
        <v>110</v>
      </c>
      <c r="H9" s="419"/>
      <c r="I9" s="419"/>
      <c r="J9" s="120" t="s">
        <v>111</v>
      </c>
      <c r="K9" s="408" t="s">
        <v>93</v>
      </c>
      <c r="L9" s="408"/>
      <c r="M9" s="408"/>
      <c r="N9" s="415" t="s">
        <v>94</v>
      </c>
      <c r="O9" s="415"/>
      <c r="P9" s="415"/>
      <c r="Q9" s="120" t="s">
        <v>112</v>
      </c>
      <c r="R9" s="408" t="s">
        <v>93</v>
      </c>
      <c r="S9" s="408"/>
      <c r="T9" s="408"/>
      <c r="U9" s="415" t="s">
        <v>94</v>
      </c>
      <c r="V9" s="415"/>
      <c r="W9" s="415"/>
      <c r="X9" s="408" t="s">
        <v>93</v>
      </c>
      <c r="Y9" s="408"/>
      <c r="Z9" s="408"/>
      <c r="AA9" s="415" t="s">
        <v>94</v>
      </c>
      <c r="AB9" s="415"/>
      <c r="AC9" s="415"/>
      <c r="AD9" s="408" t="s">
        <v>93</v>
      </c>
      <c r="AE9" s="408"/>
      <c r="AF9" s="408"/>
      <c r="AG9" s="415" t="s">
        <v>94</v>
      </c>
      <c r="AH9" s="415"/>
      <c r="AI9" s="415"/>
      <c r="AJ9" s="120" t="s">
        <v>113</v>
      </c>
      <c r="AK9" s="408" t="s">
        <v>93</v>
      </c>
      <c r="AL9" s="408"/>
      <c r="AM9" s="408"/>
      <c r="AN9" s="415" t="s">
        <v>94</v>
      </c>
      <c r="AO9" s="415"/>
      <c r="AP9" s="415"/>
      <c r="AQ9" s="408" t="s">
        <v>93</v>
      </c>
      <c r="AR9" s="408"/>
      <c r="AS9" s="408"/>
      <c r="AT9" s="415" t="s">
        <v>94</v>
      </c>
      <c r="AU9" s="415"/>
      <c r="AV9" s="415"/>
      <c r="AW9" s="408" t="s">
        <v>93</v>
      </c>
      <c r="AX9" s="408"/>
      <c r="AY9" s="408"/>
      <c r="AZ9" s="415" t="s">
        <v>94</v>
      </c>
      <c r="BA9" s="415"/>
      <c r="BB9" s="415"/>
      <c r="BC9" s="121" t="s">
        <v>93</v>
      </c>
      <c r="BD9" s="121"/>
      <c r="BE9" s="121"/>
      <c r="BF9" s="122" t="s">
        <v>94</v>
      </c>
      <c r="BG9" s="122"/>
      <c r="BH9" s="122"/>
    </row>
    <row r="10" spans="2:60" s="50" customFormat="1" ht="32.25" customHeight="1">
      <c r="B10" s="89" t="s">
        <v>32</v>
      </c>
      <c r="C10" s="89" t="s">
        <v>179</v>
      </c>
      <c r="D10" s="89" t="s">
        <v>114</v>
      </c>
      <c r="E10" s="89" t="s">
        <v>115</v>
      </c>
      <c r="F10" s="89" t="s">
        <v>116</v>
      </c>
      <c r="G10" s="89" t="s">
        <v>114</v>
      </c>
      <c r="H10" s="89" t="s">
        <v>180</v>
      </c>
      <c r="I10" s="89" t="s">
        <v>117</v>
      </c>
      <c r="J10" s="89" t="s">
        <v>208</v>
      </c>
      <c r="K10" s="89" t="s">
        <v>114</v>
      </c>
      <c r="L10" s="89" t="s">
        <v>115</v>
      </c>
      <c r="M10" s="89" t="s">
        <v>116</v>
      </c>
      <c r="N10" s="89" t="s">
        <v>114</v>
      </c>
      <c r="O10" s="89" t="s">
        <v>180</v>
      </c>
      <c r="P10" s="89" t="s">
        <v>117</v>
      </c>
      <c r="Q10" s="89" t="s">
        <v>208</v>
      </c>
      <c r="R10" s="89" t="s">
        <v>114</v>
      </c>
      <c r="S10" s="89" t="s">
        <v>115</v>
      </c>
      <c r="T10" s="89" t="s">
        <v>116</v>
      </c>
      <c r="U10" s="89" t="s">
        <v>114</v>
      </c>
      <c r="V10" s="89" t="s">
        <v>180</v>
      </c>
      <c r="W10" s="89" t="s">
        <v>117</v>
      </c>
      <c r="X10" s="89" t="s">
        <v>114</v>
      </c>
      <c r="Y10" s="89" t="s">
        <v>115</v>
      </c>
      <c r="Z10" s="89" t="s">
        <v>116</v>
      </c>
      <c r="AA10" s="89" t="s">
        <v>114</v>
      </c>
      <c r="AB10" s="89" t="s">
        <v>180</v>
      </c>
      <c r="AC10" s="89" t="s">
        <v>117</v>
      </c>
      <c r="AD10" s="89" t="s">
        <v>114</v>
      </c>
      <c r="AE10" s="89" t="s">
        <v>115</v>
      </c>
      <c r="AF10" s="89" t="s">
        <v>116</v>
      </c>
      <c r="AG10" s="89" t="s">
        <v>114</v>
      </c>
      <c r="AH10" s="89" t="s">
        <v>180</v>
      </c>
      <c r="AI10" s="89" t="s">
        <v>117</v>
      </c>
      <c r="AJ10" s="89" t="s">
        <v>179</v>
      </c>
      <c r="AK10" s="89" t="s">
        <v>114</v>
      </c>
      <c r="AL10" s="89" t="s">
        <v>115</v>
      </c>
      <c r="AM10" s="89" t="s">
        <v>116</v>
      </c>
      <c r="AN10" s="89" t="s">
        <v>114</v>
      </c>
      <c r="AO10" s="89" t="s">
        <v>180</v>
      </c>
      <c r="AP10" s="89" t="s">
        <v>117</v>
      </c>
      <c r="AQ10" s="89" t="s">
        <v>114</v>
      </c>
      <c r="AR10" s="89" t="s">
        <v>115</v>
      </c>
      <c r="AS10" s="89" t="s">
        <v>116</v>
      </c>
      <c r="AT10" s="89" t="s">
        <v>114</v>
      </c>
      <c r="AU10" s="89" t="s">
        <v>180</v>
      </c>
      <c r="AV10" s="89" t="s">
        <v>117</v>
      </c>
      <c r="AW10" s="89" t="s">
        <v>114</v>
      </c>
      <c r="AX10" s="89" t="s">
        <v>115</v>
      </c>
      <c r="AY10" s="89" t="s">
        <v>116</v>
      </c>
      <c r="AZ10" s="89" t="s">
        <v>114</v>
      </c>
      <c r="BA10" s="89" t="s">
        <v>180</v>
      </c>
      <c r="BB10" s="89" t="s">
        <v>117</v>
      </c>
      <c r="BC10" s="89" t="s">
        <v>114</v>
      </c>
      <c r="BD10" s="89" t="s">
        <v>115</v>
      </c>
      <c r="BE10" s="89" t="s">
        <v>116</v>
      </c>
      <c r="BF10" s="89" t="s">
        <v>114</v>
      </c>
      <c r="BG10" s="89" t="s">
        <v>180</v>
      </c>
      <c r="BH10" s="89" t="s">
        <v>117</v>
      </c>
    </row>
    <row r="11" spans="2:60" s="50" customFormat="1" ht="12.75">
      <c r="B11" s="123" t="s">
        <v>33</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row>
    <row r="12" spans="2:60" s="50" customFormat="1" ht="13.5" customHeight="1">
      <c r="B12" s="124" t="s">
        <v>162</v>
      </c>
      <c r="C12" s="138">
        <f>J12+Q12+AJ12</f>
        <v>0</v>
      </c>
      <c r="D12" s="175"/>
      <c r="E12" s="175"/>
      <c r="F12" s="175"/>
      <c r="G12" s="175"/>
      <c r="H12" s="175"/>
      <c r="I12" s="175"/>
      <c r="J12" s="138">
        <f>K12+N12</f>
        <v>0</v>
      </c>
      <c r="K12" s="115">
        <v>0</v>
      </c>
      <c r="L12" s="115">
        <v>0</v>
      </c>
      <c r="M12" s="138">
        <f>_xlfn.IFERROR(K12/L12,0)</f>
        <v>0</v>
      </c>
      <c r="N12" s="115">
        <v>0</v>
      </c>
      <c r="O12" s="115">
        <v>0</v>
      </c>
      <c r="P12" s="138">
        <f>_xlfn.IFERROR(N12/O12,0)</f>
        <v>0</v>
      </c>
      <c r="Q12" s="138">
        <f>R12+U12+X12+AA12+AD12+AG12</f>
        <v>0</v>
      </c>
      <c r="R12" s="115">
        <v>0</v>
      </c>
      <c r="S12" s="115">
        <v>0</v>
      </c>
      <c r="T12" s="138">
        <f>_xlfn.IFERROR(R12/S12,0)</f>
        <v>0</v>
      </c>
      <c r="U12" s="115">
        <v>0</v>
      </c>
      <c r="V12" s="115">
        <v>0</v>
      </c>
      <c r="W12" s="138">
        <f>_xlfn.IFERROR(U12/V12,0)</f>
        <v>0</v>
      </c>
      <c r="X12" s="115">
        <v>0</v>
      </c>
      <c r="Y12" s="115">
        <v>0</v>
      </c>
      <c r="Z12" s="138">
        <f>_xlfn.IFERROR(X12/Y12,0)</f>
        <v>0</v>
      </c>
      <c r="AA12" s="115">
        <v>0</v>
      </c>
      <c r="AB12" s="115">
        <v>0</v>
      </c>
      <c r="AC12" s="138">
        <f>_xlfn.IFERROR(AA12/AB12,0)</f>
        <v>0</v>
      </c>
      <c r="AD12" s="115">
        <v>0</v>
      </c>
      <c r="AE12" s="115">
        <v>0</v>
      </c>
      <c r="AF12" s="138">
        <f>_xlfn.IFERROR(AD12/AE12,0)</f>
        <v>0</v>
      </c>
      <c r="AG12" s="115">
        <v>0</v>
      </c>
      <c r="AH12" s="115">
        <v>0</v>
      </c>
      <c r="AI12" s="138">
        <f>_xlfn.IFERROR(AG12/AH12,0)</f>
        <v>0</v>
      </c>
      <c r="AJ12" s="138">
        <f>AK12+AN12+AQ12+AT12+AW12+AZ12+BC12+BF12</f>
        <v>0</v>
      </c>
      <c r="AK12" s="115">
        <v>0</v>
      </c>
      <c r="AL12" s="115">
        <v>0</v>
      </c>
      <c r="AM12" s="138">
        <f>_xlfn.IFERROR(AK12/AL12,0)</f>
        <v>0</v>
      </c>
      <c r="AN12" s="115">
        <v>0</v>
      </c>
      <c r="AO12" s="115">
        <v>0</v>
      </c>
      <c r="AP12" s="138">
        <f>_xlfn.IFERROR(AN12/AO12,0)</f>
        <v>0</v>
      </c>
      <c r="AQ12" s="115">
        <v>0</v>
      </c>
      <c r="AR12" s="115">
        <v>0</v>
      </c>
      <c r="AS12" s="138">
        <f>_xlfn.IFERROR(AQ12/AR12,0)</f>
        <v>0</v>
      </c>
      <c r="AT12" s="115">
        <v>0</v>
      </c>
      <c r="AU12" s="115">
        <v>0</v>
      </c>
      <c r="AV12" s="138">
        <f>_xlfn.IFERROR(AT12/AU12,0)</f>
        <v>0</v>
      </c>
      <c r="AW12" s="115">
        <v>0</v>
      </c>
      <c r="AX12" s="115">
        <v>0</v>
      </c>
      <c r="AY12" s="138">
        <f>_xlfn.IFERROR(AW12/AX12,0)</f>
        <v>0</v>
      </c>
      <c r="AZ12" s="115">
        <v>0</v>
      </c>
      <c r="BA12" s="115">
        <v>0</v>
      </c>
      <c r="BB12" s="138">
        <f>_xlfn.IFERROR(AZ12/BA12,0)</f>
        <v>0</v>
      </c>
      <c r="BC12" s="115">
        <v>0</v>
      </c>
      <c r="BD12" s="115">
        <v>0</v>
      </c>
      <c r="BE12" s="138">
        <f>_xlfn.IFERROR(BC12/BD12,0)</f>
        <v>0</v>
      </c>
      <c r="BF12" s="115">
        <v>0</v>
      </c>
      <c r="BG12" s="115">
        <v>0</v>
      </c>
      <c r="BH12" s="138">
        <f>_xlfn.IFERROR(BF12/BG12,0)</f>
        <v>0</v>
      </c>
    </row>
    <row r="13" spans="2:60" s="50" customFormat="1" ht="13.5" customHeight="1">
      <c r="B13" s="124" t="s">
        <v>206</v>
      </c>
      <c r="C13" s="138">
        <f>J13+Q13+AJ13</f>
        <v>0</v>
      </c>
      <c r="D13" s="175"/>
      <c r="E13" s="175"/>
      <c r="F13" s="175"/>
      <c r="G13" s="175"/>
      <c r="H13" s="175"/>
      <c r="I13" s="175"/>
      <c r="J13" s="138">
        <f>K13+N13</f>
        <v>0</v>
      </c>
      <c r="K13" s="115">
        <v>0</v>
      </c>
      <c r="L13" s="115">
        <v>0</v>
      </c>
      <c r="M13" s="138">
        <f>_xlfn.IFERROR(K13/L13,0)</f>
        <v>0</v>
      </c>
      <c r="N13" s="115">
        <v>0</v>
      </c>
      <c r="O13" s="115">
        <v>0</v>
      </c>
      <c r="P13" s="138">
        <f>_xlfn.IFERROR(N13/O13,0)</f>
        <v>0</v>
      </c>
      <c r="Q13" s="138">
        <f>R13+U13+X13+AA13+AD13+AG13</f>
        <v>0</v>
      </c>
      <c r="R13" s="115">
        <v>0</v>
      </c>
      <c r="S13" s="115">
        <v>0</v>
      </c>
      <c r="T13" s="138">
        <f>_xlfn.IFERROR(R13/S13,0)</f>
        <v>0</v>
      </c>
      <c r="U13" s="115">
        <v>0</v>
      </c>
      <c r="V13" s="115">
        <v>0</v>
      </c>
      <c r="W13" s="138">
        <f>_xlfn.IFERROR(U13/V13,0)</f>
        <v>0</v>
      </c>
      <c r="X13" s="115">
        <v>0</v>
      </c>
      <c r="Y13" s="115">
        <v>0</v>
      </c>
      <c r="Z13" s="138">
        <f>_xlfn.IFERROR(X13/Y13,0)</f>
        <v>0</v>
      </c>
      <c r="AA13" s="115">
        <v>0</v>
      </c>
      <c r="AB13" s="115">
        <v>0</v>
      </c>
      <c r="AC13" s="138">
        <f>_xlfn.IFERROR(AA13/AB13,0)</f>
        <v>0</v>
      </c>
      <c r="AD13" s="115">
        <v>0</v>
      </c>
      <c r="AE13" s="115">
        <v>0</v>
      </c>
      <c r="AF13" s="138">
        <f>_xlfn.IFERROR(AD13/AE13,0)</f>
        <v>0</v>
      </c>
      <c r="AG13" s="115">
        <v>0</v>
      </c>
      <c r="AH13" s="115">
        <v>0</v>
      </c>
      <c r="AI13" s="138">
        <f>_xlfn.IFERROR(AG13/AH13,0)</f>
        <v>0</v>
      </c>
      <c r="AJ13" s="138">
        <f>AK13+AN13+AQ13+AT13+AW13+AZ13+BC13+BF13</f>
        <v>0</v>
      </c>
      <c r="AK13" s="115">
        <v>0</v>
      </c>
      <c r="AL13" s="115">
        <v>0</v>
      </c>
      <c r="AM13" s="138">
        <f>_xlfn.IFERROR(AK13/AL13,0)</f>
        <v>0</v>
      </c>
      <c r="AN13" s="115">
        <v>0</v>
      </c>
      <c r="AO13" s="115">
        <v>0</v>
      </c>
      <c r="AP13" s="138">
        <f>_xlfn.IFERROR(AN13/AO13,0)</f>
        <v>0</v>
      </c>
      <c r="AQ13" s="115">
        <v>0</v>
      </c>
      <c r="AR13" s="115">
        <v>0</v>
      </c>
      <c r="AS13" s="138">
        <f>_xlfn.IFERROR(AQ13/AR13,0)</f>
        <v>0</v>
      </c>
      <c r="AT13" s="115">
        <v>0</v>
      </c>
      <c r="AU13" s="115">
        <v>0</v>
      </c>
      <c r="AV13" s="138">
        <f>_xlfn.IFERROR(AT13/AU13,0)</f>
        <v>0</v>
      </c>
      <c r="AW13" s="115">
        <v>0</v>
      </c>
      <c r="AX13" s="115">
        <v>0</v>
      </c>
      <c r="AY13" s="138">
        <f>_xlfn.IFERROR(AW13/AX13,0)</f>
        <v>0</v>
      </c>
      <c r="AZ13" s="115">
        <v>0</v>
      </c>
      <c r="BA13" s="115">
        <v>0</v>
      </c>
      <c r="BB13" s="138">
        <f>_xlfn.IFERROR(AZ13/BA13,0)</f>
        <v>0</v>
      </c>
      <c r="BC13" s="115">
        <v>0</v>
      </c>
      <c r="BD13" s="115">
        <v>0</v>
      </c>
      <c r="BE13" s="138">
        <f>_xlfn.IFERROR(BC13/BD13,0)</f>
        <v>0</v>
      </c>
      <c r="BF13" s="115">
        <v>0</v>
      </c>
      <c r="BG13" s="115">
        <v>0</v>
      </c>
      <c r="BH13" s="138">
        <f>_xlfn.IFERROR(BF13/BG13,0)</f>
        <v>0</v>
      </c>
    </row>
    <row r="14" spans="2:60" s="50" customFormat="1" ht="13.5" customHeight="1">
      <c r="B14" s="124" t="s">
        <v>36</v>
      </c>
      <c r="C14" s="138">
        <f>J14+Q14+AJ14</f>
        <v>0</v>
      </c>
      <c r="D14" s="175"/>
      <c r="E14" s="175"/>
      <c r="F14" s="175"/>
      <c r="G14" s="175"/>
      <c r="H14" s="175"/>
      <c r="I14" s="175"/>
      <c r="J14" s="138">
        <f>K14+N14</f>
        <v>0</v>
      </c>
      <c r="K14" s="115">
        <v>0</v>
      </c>
      <c r="L14" s="115">
        <v>0</v>
      </c>
      <c r="M14" s="138">
        <f>_xlfn.IFERROR(K14/L14,0)</f>
        <v>0</v>
      </c>
      <c r="N14" s="115">
        <v>0</v>
      </c>
      <c r="O14" s="115">
        <v>0</v>
      </c>
      <c r="P14" s="138">
        <f>_xlfn.IFERROR(N14/O14,0)</f>
        <v>0</v>
      </c>
      <c r="Q14" s="138">
        <f>R14+U14+X14+AA14+AD14+AG14</f>
        <v>0</v>
      </c>
      <c r="R14" s="115">
        <v>0</v>
      </c>
      <c r="S14" s="115">
        <v>0</v>
      </c>
      <c r="T14" s="138">
        <f>_xlfn.IFERROR(R14/S14,0)</f>
        <v>0</v>
      </c>
      <c r="U14" s="115">
        <v>0</v>
      </c>
      <c r="V14" s="115">
        <v>0</v>
      </c>
      <c r="W14" s="138">
        <f>_xlfn.IFERROR(U14/V14,0)</f>
        <v>0</v>
      </c>
      <c r="X14" s="115">
        <v>0</v>
      </c>
      <c r="Y14" s="115">
        <v>0</v>
      </c>
      <c r="Z14" s="138">
        <f>_xlfn.IFERROR(X14/Y14,0)</f>
        <v>0</v>
      </c>
      <c r="AA14" s="115">
        <v>0</v>
      </c>
      <c r="AB14" s="115">
        <v>0</v>
      </c>
      <c r="AC14" s="138">
        <f>_xlfn.IFERROR(AA14/AB14,0)</f>
        <v>0</v>
      </c>
      <c r="AD14" s="115">
        <v>0</v>
      </c>
      <c r="AE14" s="115">
        <v>0</v>
      </c>
      <c r="AF14" s="138">
        <f>_xlfn.IFERROR(AD14/AE14,0)</f>
        <v>0</v>
      </c>
      <c r="AG14" s="115">
        <v>0</v>
      </c>
      <c r="AH14" s="115">
        <v>0</v>
      </c>
      <c r="AI14" s="138">
        <f>_xlfn.IFERROR(AG14/AH14,0)</f>
        <v>0</v>
      </c>
      <c r="AJ14" s="138">
        <f>AK14+AN14+AQ14+AT14+AW14+AZ14+BC14+BF14</f>
        <v>0</v>
      </c>
      <c r="AK14" s="115">
        <v>0</v>
      </c>
      <c r="AL14" s="115">
        <v>0</v>
      </c>
      <c r="AM14" s="138">
        <f>_xlfn.IFERROR(AK14/AL14,0)</f>
        <v>0</v>
      </c>
      <c r="AN14" s="115">
        <v>0</v>
      </c>
      <c r="AO14" s="115">
        <v>0</v>
      </c>
      <c r="AP14" s="138">
        <f>_xlfn.IFERROR(AN14/AO14,0)</f>
        <v>0</v>
      </c>
      <c r="AQ14" s="115">
        <v>0</v>
      </c>
      <c r="AR14" s="115">
        <v>0</v>
      </c>
      <c r="AS14" s="138">
        <f>_xlfn.IFERROR(AQ14/AR14,0)</f>
        <v>0</v>
      </c>
      <c r="AT14" s="115">
        <v>0</v>
      </c>
      <c r="AU14" s="115">
        <v>0</v>
      </c>
      <c r="AV14" s="138">
        <f>_xlfn.IFERROR(AT14/AU14,0)</f>
        <v>0</v>
      </c>
      <c r="AW14" s="115">
        <v>0</v>
      </c>
      <c r="AX14" s="115">
        <v>0</v>
      </c>
      <c r="AY14" s="138">
        <f>_xlfn.IFERROR(AW14/AX14,0)</f>
        <v>0</v>
      </c>
      <c r="AZ14" s="115">
        <v>0</v>
      </c>
      <c r="BA14" s="115">
        <v>0</v>
      </c>
      <c r="BB14" s="138">
        <f>_xlfn.IFERROR(AZ14/BA14,0)</f>
        <v>0</v>
      </c>
      <c r="BC14" s="115">
        <v>0</v>
      </c>
      <c r="BD14" s="115">
        <v>0</v>
      </c>
      <c r="BE14" s="138">
        <f>_xlfn.IFERROR(BC14/BD14,0)</f>
        <v>0</v>
      </c>
      <c r="BF14" s="115">
        <v>0</v>
      </c>
      <c r="BG14" s="115">
        <v>0</v>
      </c>
      <c r="BH14" s="138">
        <f>_xlfn.IFERROR(BF14/BG14,0)</f>
        <v>0</v>
      </c>
    </row>
    <row r="15" spans="2:60" s="50" customFormat="1" ht="38.25" customHeight="1">
      <c r="B15" s="123" t="s">
        <v>228</v>
      </c>
      <c r="C15" s="140"/>
      <c r="D15" s="140"/>
      <c r="E15" s="140"/>
      <c r="F15" s="140"/>
      <c r="G15" s="140"/>
      <c r="H15" s="140"/>
      <c r="I15" s="140"/>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row>
    <row r="16" spans="2:60" s="50" customFormat="1" ht="13.5" customHeight="1">
      <c r="B16" s="124" t="s">
        <v>226</v>
      </c>
      <c r="C16" s="138">
        <f>D16+G16</f>
        <v>0</v>
      </c>
      <c r="D16" s="115">
        <v>0</v>
      </c>
      <c r="E16" s="115">
        <v>0</v>
      </c>
      <c r="F16" s="138">
        <f>_xlfn.IFERROR(D16/E16,0)</f>
        <v>0</v>
      </c>
      <c r="G16" s="115">
        <v>0</v>
      </c>
      <c r="H16" s="115">
        <v>0</v>
      </c>
      <c r="I16" s="138">
        <f>_xlfn.IFERROR(G16/H16,0)</f>
        <v>0</v>
      </c>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row>
    <row r="17" spans="2:60" s="50" customFormat="1" ht="34.5" customHeight="1">
      <c r="B17" s="176" t="s">
        <v>39</v>
      </c>
      <c r="C17" s="140"/>
      <c r="D17" s="140"/>
      <c r="E17" s="140"/>
      <c r="F17" s="140"/>
      <c r="G17" s="140"/>
      <c r="H17" s="140"/>
      <c r="I17" s="140"/>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row>
    <row r="18" spans="2:60" s="50" customFormat="1" ht="13.5" customHeight="1">
      <c r="B18" s="124" t="s">
        <v>227</v>
      </c>
      <c r="C18" s="138">
        <f>D18+G18</f>
        <v>0</v>
      </c>
      <c r="D18" s="115">
        <v>0</v>
      </c>
      <c r="E18" s="115">
        <v>0</v>
      </c>
      <c r="F18" s="138">
        <f>_xlfn.IFERROR(D18/E18,0)</f>
        <v>0</v>
      </c>
      <c r="G18" s="115">
        <v>0</v>
      </c>
      <c r="H18" s="115">
        <v>0</v>
      </c>
      <c r="I18" s="138">
        <f>_xlfn.IFERROR(G18/H18,0)</f>
        <v>0</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row>
    <row r="19" spans="2:60" s="50" customFormat="1" ht="27" customHeight="1">
      <c r="B19" s="123" t="s">
        <v>92</v>
      </c>
      <c r="C19" s="138">
        <f>D19+G19</f>
        <v>0</v>
      </c>
      <c r="D19" s="115">
        <v>0</v>
      </c>
      <c r="E19" s="175"/>
      <c r="F19" s="175"/>
      <c r="G19" s="115">
        <v>0</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row>
    <row r="20" spans="2:60" s="50" customFormat="1" ht="13.5" customHeight="1">
      <c r="B20" s="123" t="s">
        <v>25</v>
      </c>
      <c r="C20" s="141">
        <f>SUM(C12:C19)</f>
        <v>0</v>
      </c>
      <c r="D20" s="141">
        <f>SUM(D12:D19)</f>
        <v>0</v>
      </c>
      <c r="E20" s="141">
        <f>SUM(E12:E19)</f>
        <v>0</v>
      </c>
      <c r="F20" s="141"/>
      <c r="G20" s="141">
        <f>SUM(G12:G19)</f>
        <v>0</v>
      </c>
      <c r="H20" s="141">
        <f>SUM(H12:H19)</f>
        <v>0</v>
      </c>
      <c r="I20" s="141"/>
      <c r="J20" s="141">
        <f>SUM(J12:J19)</f>
        <v>0</v>
      </c>
      <c r="K20" s="141">
        <f>SUM(K12:K19)</f>
        <v>0</v>
      </c>
      <c r="L20" s="141">
        <f>SUM(L12:L19)</f>
        <v>0</v>
      </c>
      <c r="M20" s="141"/>
      <c r="N20" s="141">
        <f>SUM(N12:N19)</f>
        <v>0</v>
      </c>
      <c r="O20" s="141">
        <f>SUM(O12:O19)</f>
        <v>0</v>
      </c>
      <c r="P20" s="141"/>
      <c r="Q20" s="141">
        <f>SUM(Q12:Q19)</f>
        <v>0</v>
      </c>
      <c r="R20" s="141">
        <f>SUM(R12:R19)</f>
        <v>0</v>
      </c>
      <c r="S20" s="141">
        <f>SUM(S12:S19)</f>
        <v>0</v>
      </c>
      <c r="T20" s="141"/>
      <c r="U20" s="141">
        <f>SUM(U12:U19)</f>
        <v>0</v>
      </c>
      <c r="V20" s="141">
        <f>SUM(V12:V19)</f>
        <v>0</v>
      </c>
      <c r="W20" s="141"/>
      <c r="X20" s="141">
        <f>SUM(X12:X19)</f>
        <v>0</v>
      </c>
      <c r="Y20" s="141">
        <f>SUM(Y12:Y19)</f>
        <v>0</v>
      </c>
      <c r="Z20" s="141"/>
      <c r="AA20" s="141">
        <f>SUM(AA12:AA19)</f>
        <v>0</v>
      </c>
      <c r="AB20" s="141">
        <f>SUM(AB12:AB19)</f>
        <v>0</v>
      </c>
      <c r="AC20" s="141"/>
      <c r="AD20" s="141">
        <f>SUM(AD12:AD19)</f>
        <v>0</v>
      </c>
      <c r="AE20" s="141">
        <f>SUM(AE12:AE19)</f>
        <v>0</v>
      </c>
      <c r="AF20" s="141"/>
      <c r="AG20" s="141">
        <f>SUM(AG12:AG19)</f>
        <v>0</v>
      </c>
      <c r="AH20" s="141">
        <f>SUM(AH12:AH19)</f>
        <v>0</v>
      </c>
      <c r="AI20" s="141"/>
      <c r="AJ20" s="141">
        <f>SUM(AJ12:AJ19)</f>
        <v>0</v>
      </c>
      <c r="AK20" s="141">
        <f>SUM(AK12:AK19)</f>
        <v>0</v>
      </c>
      <c r="AL20" s="141">
        <f>SUM(AL12:AL19)</f>
        <v>0</v>
      </c>
      <c r="AM20" s="141"/>
      <c r="AN20" s="141">
        <f>SUM(AN12:AN19)</f>
        <v>0</v>
      </c>
      <c r="AO20" s="141">
        <f>SUM(AO12:AO19)</f>
        <v>0</v>
      </c>
      <c r="AP20" s="141"/>
      <c r="AQ20" s="141">
        <f>SUM(AQ12:AQ19)</f>
        <v>0</v>
      </c>
      <c r="AR20" s="141">
        <f>SUM(AR12:AR19)</f>
        <v>0</v>
      </c>
      <c r="AS20" s="141"/>
      <c r="AT20" s="141">
        <f>SUM(AT12:AT19)</f>
        <v>0</v>
      </c>
      <c r="AU20" s="141">
        <f>SUM(AU12:AU19)</f>
        <v>0</v>
      </c>
      <c r="AV20" s="141"/>
      <c r="AW20" s="141">
        <f>SUM(AW12:AW19)</f>
        <v>0</v>
      </c>
      <c r="AX20" s="141">
        <f>SUM(AX12:AX19)</f>
        <v>0</v>
      </c>
      <c r="AY20" s="141"/>
      <c r="AZ20" s="141">
        <f>SUM(AZ12:AZ19)</f>
        <v>0</v>
      </c>
      <c r="BA20" s="141">
        <f>SUM(BA12:BA19)</f>
        <v>0</v>
      </c>
      <c r="BB20" s="141"/>
      <c r="BC20" s="141">
        <f>SUM(BC12:BC19)</f>
        <v>0</v>
      </c>
      <c r="BD20" s="141">
        <f>SUM(BD12:BD19)</f>
        <v>0</v>
      </c>
      <c r="BE20" s="141"/>
      <c r="BF20" s="141">
        <f>SUM(BF12:BF19)</f>
        <v>0</v>
      </c>
      <c r="BG20" s="141">
        <f>SUM(BG12:BG19)</f>
        <v>0</v>
      </c>
      <c r="BH20" s="141"/>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2"/>
      <c r="C32" s="50"/>
      <c r="D32" s="50"/>
    </row>
    <row r="33" spans="2:4" ht="15">
      <c r="B33" s="62"/>
      <c r="C33" s="62"/>
      <c r="D33" s="62"/>
    </row>
    <row r="34" spans="2:4" ht="15">
      <c r="B34" s="62"/>
      <c r="C34" s="62"/>
      <c r="D34" s="62"/>
    </row>
    <row r="35" spans="2:4" ht="15">
      <c r="B35" s="62"/>
      <c r="C35" s="62"/>
      <c r="D35" s="62"/>
    </row>
    <row r="36" spans="2:4" ht="15">
      <c r="B36" s="62"/>
      <c r="C36" s="62"/>
      <c r="D36" s="62"/>
    </row>
    <row r="37" spans="2:4" ht="15">
      <c r="B37" s="62"/>
      <c r="C37" s="62"/>
      <c r="D37" s="62"/>
    </row>
    <row r="38" spans="2:4" ht="15">
      <c r="B38" s="62"/>
      <c r="C38" s="62"/>
      <c r="D38" s="62"/>
    </row>
    <row r="39" spans="2:4" ht="15">
      <c r="B39" s="62"/>
      <c r="C39" s="62"/>
      <c r="D39" s="62"/>
    </row>
    <row r="40" spans="2:4" ht="15">
      <c r="B40" s="62"/>
      <c r="C40" s="62"/>
      <c r="D40" s="62"/>
    </row>
    <row r="41" spans="2:4" ht="15">
      <c r="B41" s="62"/>
      <c r="C41" s="62"/>
      <c r="D41" s="62"/>
    </row>
    <row r="42" spans="2:4" ht="15">
      <c r="B42" s="62"/>
      <c r="C42" s="62"/>
      <c r="D42" s="62"/>
    </row>
    <row r="43" spans="2:4" ht="15">
      <c r="B43" s="62"/>
      <c r="C43" s="62"/>
      <c r="D43" s="62"/>
    </row>
    <row r="44" spans="2:4" ht="15">
      <c r="B44" s="62"/>
      <c r="C44" s="62"/>
      <c r="D44" s="62"/>
    </row>
    <row r="45" spans="2:4" ht="15">
      <c r="B45" s="62"/>
      <c r="C45" s="62"/>
      <c r="D45" s="62"/>
    </row>
    <row r="46" spans="2:4" ht="15">
      <c r="B46" s="62"/>
      <c r="C46" s="62"/>
      <c r="D46" s="62"/>
    </row>
    <row r="47" spans="2:4" ht="15">
      <c r="B47" s="62"/>
      <c r="C47" s="62"/>
      <c r="D47" s="62"/>
    </row>
    <row r="48" spans="2:4" ht="15">
      <c r="B48" s="62"/>
      <c r="C48" s="62"/>
      <c r="D48" s="62"/>
    </row>
    <row r="49" spans="2:4" ht="15">
      <c r="B49" s="62"/>
      <c r="C49" s="62"/>
      <c r="D49" s="62"/>
    </row>
    <row r="50" spans="2:4" ht="15">
      <c r="B50" s="62"/>
      <c r="C50" s="62"/>
      <c r="D50" s="62"/>
    </row>
    <row r="51" spans="2:4" ht="15">
      <c r="B51" s="62"/>
      <c r="C51" s="62"/>
      <c r="D51" s="62"/>
    </row>
    <row r="52" spans="2:4" ht="15">
      <c r="B52" s="62"/>
      <c r="C52" s="62"/>
      <c r="D52" s="62"/>
    </row>
    <row r="53" spans="2:4" ht="15">
      <c r="B53" s="62"/>
      <c r="C53" s="62"/>
      <c r="D53" s="62"/>
    </row>
    <row r="54" spans="2:4" ht="15">
      <c r="B54" s="62"/>
      <c r="C54" s="62"/>
      <c r="D54" s="62"/>
    </row>
    <row r="55" spans="2:4" ht="15">
      <c r="B55" s="62"/>
      <c r="C55" s="62"/>
      <c r="D55" s="62"/>
    </row>
    <row r="56" spans="2:4" ht="15">
      <c r="B56" s="62"/>
      <c r="C56" s="62"/>
      <c r="D56" s="62"/>
    </row>
    <row r="57" spans="2:4" ht="15">
      <c r="B57" s="62"/>
      <c r="C57" s="62"/>
      <c r="D57" s="62"/>
    </row>
    <row r="58" spans="2:4" ht="15">
      <c r="B58" s="62"/>
      <c r="C58" s="62"/>
      <c r="D58" s="62"/>
    </row>
    <row r="59" spans="2:4" ht="15">
      <c r="B59" s="62"/>
      <c r="C59" s="62"/>
      <c r="D59" s="62"/>
    </row>
    <row r="60" spans="2:4" ht="15">
      <c r="B60" s="62"/>
      <c r="C60" s="62"/>
      <c r="D60" s="62"/>
    </row>
    <row r="61" spans="2:4" ht="15">
      <c r="B61" s="62"/>
      <c r="C61" s="62"/>
      <c r="D61" s="62"/>
    </row>
    <row r="62" spans="2:4" ht="15">
      <c r="B62" s="62"/>
      <c r="C62" s="62"/>
      <c r="D62" s="62"/>
    </row>
    <row r="63" spans="2:4" ht="15">
      <c r="B63" s="62"/>
      <c r="C63" s="62"/>
      <c r="D63" s="62"/>
    </row>
    <row r="64" spans="2:4" ht="15">
      <c r="B64" s="62"/>
      <c r="C64" s="62"/>
      <c r="D64" s="62"/>
    </row>
    <row r="65" spans="2:4" ht="15">
      <c r="B65" s="62"/>
      <c r="C65" s="62"/>
      <c r="D65" s="62"/>
    </row>
    <row r="66" spans="2:4" ht="15">
      <c r="B66" s="62"/>
      <c r="C66" s="62"/>
      <c r="D66" s="62"/>
    </row>
    <row r="67" spans="2:4" ht="15">
      <c r="B67" s="62"/>
      <c r="C67" s="62"/>
      <c r="D67" s="62"/>
    </row>
    <row r="68" spans="2:4" ht="15">
      <c r="B68" s="62"/>
      <c r="C68" s="62"/>
      <c r="D68" s="62"/>
    </row>
    <row r="69" spans="2:4" ht="15">
      <c r="B69" s="62"/>
      <c r="C69" s="62"/>
      <c r="D69" s="62"/>
    </row>
    <row r="70" spans="2:4" ht="15">
      <c r="B70" s="62"/>
      <c r="C70" s="62"/>
      <c r="D70" s="62"/>
    </row>
    <row r="71" spans="2:4" ht="15">
      <c r="B71" s="62"/>
      <c r="C71" s="62"/>
      <c r="D71" s="62"/>
    </row>
    <row r="72" spans="2:4" ht="15">
      <c r="B72" s="62"/>
      <c r="C72" s="62"/>
      <c r="D72" s="62"/>
    </row>
    <row r="73" spans="2:4" ht="15">
      <c r="B73" s="62"/>
      <c r="C73" s="62"/>
      <c r="D73" s="62"/>
    </row>
    <row r="74" spans="2:4" ht="15">
      <c r="B74" s="62"/>
      <c r="C74" s="62"/>
      <c r="D74" s="62"/>
    </row>
    <row r="75" spans="2:4" ht="15">
      <c r="B75" s="62"/>
      <c r="C75" s="62"/>
      <c r="D75" s="62"/>
    </row>
    <row r="76" spans="2:4" ht="15">
      <c r="B76" s="62"/>
      <c r="C76" s="62"/>
      <c r="D76" s="62"/>
    </row>
    <row r="77" spans="2:4" ht="15">
      <c r="B77" s="62"/>
      <c r="C77" s="62"/>
      <c r="D77" s="62"/>
    </row>
    <row r="78" spans="2:4" ht="15">
      <c r="B78" s="62"/>
      <c r="C78" s="62"/>
      <c r="D78" s="62"/>
    </row>
    <row r="79" spans="2:4" ht="15">
      <c r="B79" s="62"/>
      <c r="C79" s="62"/>
      <c r="D79" s="62"/>
    </row>
    <row r="80" spans="2:4" ht="15">
      <c r="B80" s="62"/>
      <c r="C80" s="62"/>
      <c r="D80" s="62"/>
    </row>
    <row r="81" spans="2:4" ht="15">
      <c r="B81" s="62"/>
      <c r="C81" s="62"/>
      <c r="D81" s="62"/>
    </row>
    <row r="82" spans="2:4" ht="15">
      <c r="B82" s="62"/>
      <c r="C82" s="62"/>
      <c r="D82" s="62"/>
    </row>
    <row r="83" spans="2:4" ht="15">
      <c r="B83" s="62"/>
      <c r="C83" s="62"/>
      <c r="D83" s="62"/>
    </row>
    <row r="84" spans="2:4" ht="15">
      <c r="B84" s="62"/>
      <c r="C84" s="62"/>
      <c r="D84" s="62"/>
    </row>
    <row r="85" spans="2:4" ht="15">
      <c r="B85" s="62"/>
      <c r="C85" s="62"/>
      <c r="D85" s="62"/>
    </row>
    <row r="86" spans="2:4" ht="15">
      <c r="B86" s="62"/>
      <c r="C86" s="62"/>
      <c r="D86" s="62"/>
    </row>
    <row r="87" spans="2:4" ht="15">
      <c r="B87" s="62"/>
      <c r="C87" s="62"/>
      <c r="D87" s="62"/>
    </row>
    <row r="88" spans="2:4" ht="15">
      <c r="B88" s="62"/>
      <c r="C88" s="62"/>
      <c r="D88" s="62"/>
    </row>
    <row r="89" spans="2:4" ht="15">
      <c r="B89" s="62"/>
      <c r="C89" s="62"/>
      <c r="D89" s="62"/>
    </row>
    <row r="90" spans="2:4" ht="15">
      <c r="B90" s="62"/>
      <c r="C90" s="62"/>
      <c r="D90" s="62"/>
    </row>
    <row r="91" spans="2:4" ht="15">
      <c r="B91" s="62"/>
      <c r="C91" s="62"/>
      <c r="D91" s="62"/>
    </row>
    <row r="92" spans="2:4" ht="15">
      <c r="B92" s="62"/>
      <c r="C92" s="62"/>
      <c r="D92" s="62"/>
    </row>
    <row r="93" spans="2:4" ht="15">
      <c r="B93" s="62"/>
      <c r="C93" s="62"/>
      <c r="D93" s="62"/>
    </row>
    <row r="94" spans="2:4" ht="15">
      <c r="B94" s="62"/>
      <c r="C94" s="62"/>
      <c r="D94" s="62"/>
    </row>
    <row r="95" spans="2:4" ht="15">
      <c r="B95" s="62"/>
      <c r="C95" s="62"/>
      <c r="D95" s="62"/>
    </row>
    <row r="96" spans="2:4" ht="15">
      <c r="B96" s="62"/>
      <c r="C96" s="62"/>
      <c r="D96" s="62"/>
    </row>
    <row r="97" spans="2:4" ht="15">
      <c r="B97" s="62"/>
      <c r="C97" s="62"/>
      <c r="D97" s="62"/>
    </row>
    <row r="98" spans="2:4" ht="15">
      <c r="B98" s="62"/>
      <c r="C98" s="62"/>
      <c r="D98" s="62"/>
    </row>
    <row r="99" spans="2:4" ht="15">
      <c r="B99" s="62"/>
      <c r="C99" s="62"/>
      <c r="D99" s="62"/>
    </row>
    <row r="100" spans="2:4" ht="15">
      <c r="B100" s="62"/>
      <c r="C100" s="62"/>
      <c r="D100" s="62"/>
    </row>
    <row r="101" spans="2:4" ht="15">
      <c r="B101" s="62"/>
      <c r="C101" s="62"/>
      <c r="D101" s="62"/>
    </row>
    <row r="102" spans="2:4" ht="15">
      <c r="B102" s="62"/>
      <c r="C102" s="62"/>
      <c r="D102" s="62"/>
    </row>
    <row r="103" spans="2:4" ht="15">
      <c r="B103" s="62"/>
      <c r="C103" s="62"/>
      <c r="D103" s="62"/>
    </row>
    <row r="104" spans="2:4" ht="15">
      <c r="B104" s="62"/>
      <c r="C104" s="62"/>
      <c r="D104" s="62"/>
    </row>
    <row r="105" spans="2:4" ht="15">
      <c r="B105" s="62"/>
      <c r="C105" s="62"/>
      <c r="D105" s="62"/>
    </row>
    <row r="106" spans="2:4" ht="15">
      <c r="B106" s="62"/>
      <c r="C106" s="62"/>
      <c r="D106" s="62"/>
    </row>
    <row r="107" spans="2:4" ht="15">
      <c r="B107" s="62"/>
      <c r="C107" s="62"/>
      <c r="D107" s="62"/>
    </row>
    <row r="108" spans="2:4" ht="15">
      <c r="B108" s="62"/>
      <c r="C108" s="62"/>
      <c r="D108" s="62"/>
    </row>
    <row r="109" spans="2:4" ht="15">
      <c r="B109" s="62"/>
      <c r="C109" s="62"/>
      <c r="D109" s="62"/>
    </row>
    <row r="110" spans="2:4" ht="15">
      <c r="B110" s="62"/>
      <c r="C110" s="62"/>
      <c r="D110" s="62"/>
    </row>
    <row r="111" spans="3:4" ht="15">
      <c r="C111" s="62"/>
      <c r="D111" s="62"/>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drawing r:id="rId1"/>
</worksheet>
</file>

<file path=xl/worksheets/sheet16.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2" sqref="A2"/>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139</v>
      </c>
      <c r="C1" s="42"/>
      <c r="D1" s="42"/>
      <c r="E1" s="42"/>
      <c r="F1" s="42"/>
      <c r="G1" s="42"/>
      <c r="H1" s="42"/>
      <c r="I1" s="42"/>
    </row>
    <row r="2" spans="2:3" ht="15">
      <c r="B2" s="157" t="str">
        <f>Tradingname</f>
        <v>Australian Gas Networks Limited</v>
      </c>
      <c r="C2" s="158"/>
    </row>
    <row r="3" spans="2:5" ht="18" customHeight="1">
      <c r="B3" s="159" t="s">
        <v>184</v>
      </c>
      <c r="C3" s="160">
        <f>Yearending</f>
        <v>44926</v>
      </c>
      <c r="D3" s="119"/>
      <c r="E3" s="119"/>
    </row>
    <row r="4" ht="20.25">
      <c r="B4" s="41"/>
    </row>
    <row r="5" ht="15.75">
      <c r="B5" s="64" t="s">
        <v>205</v>
      </c>
    </row>
    <row r="6" spans="2:9" ht="12.75">
      <c r="B6" s="45"/>
      <c r="C6" s="48"/>
      <c r="D6" s="48"/>
      <c r="E6" s="48"/>
      <c r="G6" s="65"/>
      <c r="H6" s="50"/>
      <c r="I6" s="50"/>
    </row>
    <row r="7" spans="2:5" ht="57" customHeight="1">
      <c r="B7" s="425" t="s">
        <v>140</v>
      </c>
      <c r="C7" s="426"/>
      <c r="D7" s="426"/>
      <c r="E7" s="427"/>
    </row>
    <row r="8" spans="2:5" ht="13.5" customHeight="1">
      <c r="B8" s="424"/>
      <c r="C8" s="424"/>
      <c r="D8" s="424"/>
      <c r="E8" s="424"/>
    </row>
    <row r="9" spans="2:5" ht="13.5" customHeight="1">
      <c r="B9" s="424"/>
      <c r="C9" s="424"/>
      <c r="D9" s="424"/>
      <c r="E9" s="424"/>
    </row>
    <row r="10" spans="2:5" ht="13.5" customHeight="1">
      <c r="B10" s="424"/>
      <c r="C10" s="424"/>
      <c r="D10" s="424"/>
      <c r="E10" s="424"/>
    </row>
    <row r="11" spans="2:5" ht="13.5" customHeight="1">
      <c r="B11" s="424"/>
      <c r="C11" s="424"/>
      <c r="D11" s="424"/>
      <c r="E11" s="424"/>
    </row>
    <row r="12" spans="2:5" ht="13.5" customHeight="1">
      <c r="B12" s="424"/>
      <c r="C12" s="424"/>
      <c r="D12" s="424"/>
      <c r="E12" s="424"/>
    </row>
    <row r="13" spans="2:5" ht="13.5" customHeight="1">
      <c r="B13" s="424"/>
      <c r="C13" s="424"/>
      <c r="D13" s="424"/>
      <c r="E13" s="424"/>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17.xml><?xml version="1.0" encoding="utf-8"?>
<worksheet xmlns="http://schemas.openxmlformats.org/spreadsheetml/2006/main" xmlns:r="http://schemas.openxmlformats.org/officeDocument/2006/relationships">
  <dimension ref="B1:H4"/>
  <sheetViews>
    <sheetView zoomScalePageLayoutView="0" workbookViewId="0" topLeftCell="A1">
      <selection activeCell="D7" sqref="D7"/>
    </sheetView>
  </sheetViews>
  <sheetFormatPr defaultColWidth="9.140625" defaultRowHeight="12.75"/>
  <cols>
    <col min="1" max="1" width="11.7109375" style="333" customWidth="1"/>
    <col min="2" max="2" width="22.421875" style="333" customWidth="1"/>
    <col min="3" max="3" width="15.8515625" style="333" customWidth="1"/>
    <col min="4" max="4" width="84.28125" style="333" customWidth="1"/>
    <col min="5" max="5" width="9.140625" style="333" customWidth="1"/>
    <col min="6" max="6" width="11.28125" style="333" customWidth="1"/>
    <col min="7" max="16384" width="9.140625" style="333" customWidth="1"/>
  </cols>
  <sheetData>
    <row r="1" spans="2:4" ht="20.25">
      <c r="B1" s="334" t="s">
        <v>363</v>
      </c>
      <c r="C1" s="335"/>
      <c r="D1" s="335"/>
    </row>
    <row r="2" spans="2:8" ht="15">
      <c r="B2" s="277" t="str">
        <f>Tradingname</f>
        <v>Australian Gas Networks Limited</v>
      </c>
      <c r="C2" s="278"/>
      <c r="E2" s="277"/>
      <c r="F2" s="277"/>
      <c r="G2" s="277"/>
      <c r="H2" s="277"/>
    </row>
    <row r="3" spans="2:8" ht="15.75" customHeight="1">
      <c r="B3" s="279" t="s">
        <v>184</v>
      </c>
      <c r="C3" s="280">
        <f>Yearending</f>
        <v>44926</v>
      </c>
      <c r="D3" s="336"/>
      <c r="E3" s="279"/>
      <c r="F3" s="279"/>
      <c r="G3" s="279"/>
      <c r="H3" s="279"/>
    </row>
    <row r="4" ht="20.25">
      <c r="B4" s="334"/>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printOptions/>
  <pageMargins left="0.25" right="0.25"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D4"/>
  <sheetViews>
    <sheetView zoomScalePageLayoutView="0" workbookViewId="0" topLeftCell="A1">
      <selection activeCell="D16" sqref="D16"/>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229</v>
      </c>
      <c r="C1" s="42"/>
      <c r="D1" s="42"/>
    </row>
    <row r="2" spans="2:3" ht="15">
      <c r="B2" s="157" t="str">
        <f>Tradingname</f>
        <v>Australian Gas Networks Limited</v>
      </c>
      <c r="C2" s="158"/>
    </row>
    <row r="3" spans="2:4" ht="15.75" customHeight="1">
      <c r="B3" s="159" t="s">
        <v>184</v>
      </c>
      <c r="C3" s="160">
        <f>Yearending</f>
        <v>44926</v>
      </c>
      <c r="D3" s="119"/>
    </row>
    <row r="4" ht="20.25">
      <c r="B4" s="41"/>
    </row>
  </sheetData>
  <sheetProtection/>
  <printOptions/>
  <pageMargins left="0.25" right="0.25" top="0.75" bottom="0.75" header="0.3" footer="0.3"/>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2:G29"/>
  <sheetViews>
    <sheetView zoomScale="145" zoomScaleNormal="145" zoomScalePageLayoutView="0" workbookViewId="0" topLeftCell="A28">
      <selection activeCell="F13" sqref="F13"/>
    </sheetView>
  </sheetViews>
  <sheetFormatPr defaultColWidth="9.140625" defaultRowHeight="12.75"/>
  <cols>
    <col min="1" max="1" width="10.7109375" style="0" customWidth="1"/>
    <col min="2" max="2" width="20.00390625" style="182" customWidth="1"/>
    <col min="3" max="3" width="27.421875" style="0" customWidth="1"/>
    <col min="4" max="4" width="29.00390625" style="182" customWidth="1"/>
    <col min="5" max="5" width="19.8515625" style="0" customWidth="1"/>
    <col min="6" max="6" width="21.421875" style="0" customWidth="1"/>
    <col min="7" max="7" width="59.00390625" style="0" customWidth="1"/>
  </cols>
  <sheetData>
    <row r="2" spans="1:7" ht="12.75">
      <c r="A2" s="183" t="s">
        <v>238</v>
      </c>
      <c r="B2" s="184" t="s">
        <v>239</v>
      </c>
      <c r="C2" s="183" t="s">
        <v>240</v>
      </c>
      <c r="D2" s="184" t="s">
        <v>241</v>
      </c>
      <c r="E2" s="183" t="s">
        <v>244</v>
      </c>
      <c r="F2" s="183" t="s">
        <v>242</v>
      </c>
      <c r="G2" s="183" t="s">
        <v>243</v>
      </c>
    </row>
    <row r="3" spans="1:7" s="187" customFormat="1" ht="12.75">
      <c r="A3" s="185">
        <v>43767</v>
      </c>
      <c r="B3" s="186">
        <v>0</v>
      </c>
      <c r="C3" s="187" t="s">
        <v>295</v>
      </c>
      <c r="D3" s="186" t="s">
        <v>295</v>
      </c>
      <c r="E3" s="187" t="s">
        <v>295</v>
      </c>
      <c r="F3" s="188" t="s">
        <v>297</v>
      </c>
      <c r="G3" s="188" t="s">
        <v>296</v>
      </c>
    </row>
    <row r="4" spans="1:7" s="187" customFormat="1" ht="25.5">
      <c r="A4" s="185">
        <v>43999</v>
      </c>
      <c r="B4" s="186">
        <v>1</v>
      </c>
      <c r="C4" s="187" t="s">
        <v>302</v>
      </c>
      <c r="D4" s="189" t="s">
        <v>303</v>
      </c>
      <c r="E4" s="190" t="s">
        <v>304</v>
      </c>
      <c r="F4" s="190" t="s">
        <v>305</v>
      </c>
      <c r="G4" s="191" t="s">
        <v>343</v>
      </c>
    </row>
    <row r="5" spans="1:7" s="187" customFormat="1" ht="12.75">
      <c r="A5" s="185">
        <v>43999</v>
      </c>
      <c r="B5" s="186">
        <v>2</v>
      </c>
      <c r="C5" s="190" t="s">
        <v>302</v>
      </c>
      <c r="D5" s="189" t="s">
        <v>303</v>
      </c>
      <c r="E5" s="190" t="s">
        <v>306</v>
      </c>
      <c r="F5" s="190" t="s">
        <v>305</v>
      </c>
      <c r="G5" s="191" t="s">
        <v>307</v>
      </c>
    </row>
    <row r="6" spans="1:7" s="187" customFormat="1" ht="26.25" customHeight="1">
      <c r="A6" s="185">
        <v>43999</v>
      </c>
      <c r="B6" s="186">
        <v>3</v>
      </c>
      <c r="C6" s="190" t="s">
        <v>302</v>
      </c>
      <c r="D6" s="189" t="s">
        <v>303</v>
      </c>
      <c r="E6" s="190" t="s">
        <v>308</v>
      </c>
      <c r="F6" s="190" t="s">
        <v>305</v>
      </c>
      <c r="G6" s="191" t="s">
        <v>309</v>
      </c>
    </row>
    <row r="7" spans="1:7" s="187" customFormat="1" ht="12.75">
      <c r="A7" s="185">
        <v>43999</v>
      </c>
      <c r="B7" s="186">
        <v>4</v>
      </c>
      <c r="C7" s="190" t="s">
        <v>302</v>
      </c>
      <c r="D7" s="189" t="s">
        <v>303</v>
      </c>
      <c r="E7" s="190" t="s">
        <v>310</v>
      </c>
      <c r="F7" s="190" t="s">
        <v>339</v>
      </c>
      <c r="G7" s="191" t="s">
        <v>311</v>
      </c>
    </row>
    <row r="8" spans="1:7" s="187" customFormat="1" ht="12.75">
      <c r="A8" s="185">
        <v>43999</v>
      </c>
      <c r="B8" s="186">
        <v>5</v>
      </c>
      <c r="C8" s="190" t="s">
        <v>302</v>
      </c>
      <c r="D8" s="189" t="s">
        <v>303</v>
      </c>
      <c r="E8" s="190" t="s">
        <v>312</v>
      </c>
      <c r="F8" s="190" t="s">
        <v>339</v>
      </c>
      <c r="G8" s="191" t="s">
        <v>313</v>
      </c>
    </row>
    <row r="9" spans="1:7" s="187" customFormat="1" ht="12.75">
      <c r="A9" s="185">
        <v>43999</v>
      </c>
      <c r="B9" s="186">
        <v>6</v>
      </c>
      <c r="C9" s="190" t="s">
        <v>302</v>
      </c>
      <c r="D9" s="189" t="s">
        <v>303</v>
      </c>
      <c r="E9" s="190" t="s">
        <v>314</v>
      </c>
      <c r="F9" s="190" t="s">
        <v>339</v>
      </c>
      <c r="G9" s="191" t="s">
        <v>315</v>
      </c>
    </row>
    <row r="10" spans="1:7" s="187" customFormat="1" ht="25.5">
      <c r="A10" s="185">
        <v>43999</v>
      </c>
      <c r="B10" s="186">
        <v>7</v>
      </c>
      <c r="C10" s="190" t="s">
        <v>302</v>
      </c>
      <c r="D10" s="189" t="s">
        <v>303</v>
      </c>
      <c r="E10" s="190" t="s">
        <v>316</v>
      </c>
      <c r="F10" s="190" t="s">
        <v>339</v>
      </c>
      <c r="G10" s="191" t="s">
        <v>317</v>
      </c>
    </row>
    <row r="11" spans="1:7" s="187" customFormat="1" ht="12.75">
      <c r="A11" s="185">
        <v>43999</v>
      </c>
      <c r="B11" s="186">
        <v>8</v>
      </c>
      <c r="C11" s="190" t="s">
        <v>318</v>
      </c>
      <c r="D11" s="189" t="s">
        <v>319</v>
      </c>
      <c r="E11" s="190" t="s">
        <v>320</v>
      </c>
      <c r="F11" s="190" t="s">
        <v>340</v>
      </c>
      <c r="G11" s="191" t="s">
        <v>321</v>
      </c>
    </row>
    <row r="12" spans="1:7" s="187" customFormat="1" ht="25.5">
      <c r="A12" s="185">
        <v>43999</v>
      </c>
      <c r="B12" s="186">
        <v>9</v>
      </c>
      <c r="C12" s="190" t="s">
        <v>323</v>
      </c>
      <c r="D12" s="239" t="s">
        <v>324</v>
      </c>
      <c r="E12" s="190" t="s">
        <v>322</v>
      </c>
      <c r="F12" s="190" t="s">
        <v>305</v>
      </c>
      <c r="G12" s="191" t="s">
        <v>325</v>
      </c>
    </row>
    <row r="13" spans="1:7" s="187" customFormat="1" ht="25.5">
      <c r="A13" s="185">
        <v>43999</v>
      </c>
      <c r="B13" s="186">
        <v>10</v>
      </c>
      <c r="C13" s="190" t="s">
        <v>326</v>
      </c>
      <c r="D13" s="239" t="s">
        <v>328</v>
      </c>
      <c r="E13" s="190" t="s">
        <v>327</v>
      </c>
      <c r="F13" s="190" t="s">
        <v>340</v>
      </c>
      <c r="G13" s="191" t="s">
        <v>329</v>
      </c>
    </row>
    <row r="14" spans="1:7" s="187" customFormat="1" ht="25.5">
      <c r="A14" s="185">
        <v>43999</v>
      </c>
      <c r="B14" s="186">
        <v>11</v>
      </c>
      <c r="C14" s="190" t="s">
        <v>330</v>
      </c>
      <c r="D14" s="239" t="s">
        <v>331</v>
      </c>
      <c r="E14" s="190" t="s">
        <v>332</v>
      </c>
      <c r="F14" s="190" t="s">
        <v>341</v>
      </c>
      <c r="G14" s="191" t="s">
        <v>333</v>
      </c>
    </row>
    <row r="15" spans="1:7" s="187" customFormat="1" ht="38.25">
      <c r="A15" s="185">
        <v>43999</v>
      </c>
      <c r="B15" s="186">
        <v>12</v>
      </c>
      <c r="C15" s="190" t="s">
        <v>335</v>
      </c>
      <c r="D15" s="189" t="s">
        <v>336</v>
      </c>
      <c r="E15" s="190" t="s">
        <v>337</v>
      </c>
      <c r="F15" s="190" t="s">
        <v>339</v>
      </c>
      <c r="G15" s="191" t="s">
        <v>342</v>
      </c>
    </row>
    <row r="16" spans="1:7" s="187" customFormat="1" ht="25.5">
      <c r="A16" s="185">
        <v>43999</v>
      </c>
      <c r="B16" s="186">
        <v>13</v>
      </c>
      <c r="C16" s="190" t="s">
        <v>335</v>
      </c>
      <c r="D16" s="189" t="s">
        <v>336</v>
      </c>
      <c r="E16" s="190" t="s">
        <v>346</v>
      </c>
      <c r="F16" s="190" t="s">
        <v>338</v>
      </c>
      <c r="G16" s="191" t="s">
        <v>344</v>
      </c>
    </row>
    <row r="17" spans="1:7" s="187" customFormat="1" ht="25.5">
      <c r="A17" s="185">
        <v>43999</v>
      </c>
      <c r="B17" s="186">
        <v>14</v>
      </c>
      <c r="C17" s="190" t="s">
        <v>302</v>
      </c>
      <c r="D17" s="189" t="s">
        <v>303</v>
      </c>
      <c r="E17" s="190" t="s">
        <v>345</v>
      </c>
      <c r="F17" s="190" t="s">
        <v>338</v>
      </c>
      <c r="G17" s="191" t="s">
        <v>344</v>
      </c>
    </row>
    <row r="18" spans="1:7" s="187" customFormat="1" ht="25.5">
      <c r="A18" s="185">
        <v>44008</v>
      </c>
      <c r="B18" s="186">
        <v>15</v>
      </c>
      <c r="C18" s="190" t="s">
        <v>347</v>
      </c>
      <c r="D18" s="239" t="s">
        <v>348</v>
      </c>
      <c r="E18" s="190" t="s">
        <v>373</v>
      </c>
      <c r="F18" s="190" t="s">
        <v>341</v>
      </c>
      <c r="G18" s="191" t="s">
        <v>360</v>
      </c>
    </row>
    <row r="19" spans="1:7" s="187" customFormat="1" ht="25.5">
      <c r="A19" s="185">
        <v>44008</v>
      </c>
      <c r="B19" s="186">
        <v>16</v>
      </c>
      <c r="C19" s="190" t="s">
        <v>347</v>
      </c>
      <c r="D19" s="239" t="s">
        <v>348</v>
      </c>
      <c r="E19" s="190" t="s">
        <v>349</v>
      </c>
      <c r="F19" s="190" t="s">
        <v>338</v>
      </c>
      <c r="G19" s="191" t="s">
        <v>350</v>
      </c>
    </row>
    <row r="20" spans="1:7" s="187" customFormat="1" ht="12.75">
      <c r="A20" s="185">
        <v>44008</v>
      </c>
      <c r="B20" s="186">
        <v>17</v>
      </c>
      <c r="C20" s="190" t="s">
        <v>302</v>
      </c>
      <c r="D20" s="189" t="s">
        <v>303</v>
      </c>
      <c r="E20" s="190" t="s">
        <v>351</v>
      </c>
      <c r="F20" s="190" t="s">
        <v>338</v>
      </c>
      <c r="G20" s="191" t="s">
        <v>350</v>
      </c>
    </row>
    <row r="21" spans="1:7" s="187" customFormat="1" ht="12.75">
      <c r="A21" s="185">
        <v>44008</v>
      </c>
      <c r="B21" s="186">
        <v>18</v>
      </c>
      <c r="C21" s="190" t="s">
        <v>302</v>
      </c>
      <c r="D21" s="189" t="s">
        <v>303</v>
      </c>
      <c r="E21" s="190" t="s">
        <v>352</v>
      </c>
      <c r="F21" s="190" t="s">
        <v>338</v>
      </c>
      <c r="G21" s="191" t="s">
        <v>353</v>
      </c>
    </row>
    <row r="22" spans="1:7" s="187" customFormat="1" ht="25.5">
      <c r="A22" s="185">
        <v>44017</v>
      </c>
      <c r="B22" s="186">
        <v>19</v>
      </c>
      <c r="C22" s="190" t="s">
        <v>330</v>
      </c>
      <c r="D22" s="239" t="s">
        <v>331</v>
      </c>
      <c r="E22" s="190" t="s">
        <v>356</v>
      </c>
      <c r="F22" s="190" t="s">
        <v>305</v>
      </c>
      <c r="G22" s="191" t="s">
        <v>357</v>
      </c>
    </row>
    <row r="23" spans="1:7" s="187" customFormat="1" ht="25.5">
      <c r="A23" s="185">
        <v>44019</v>
      </c>
      <c r="B23" s="186">
        <v>20</v>
      </c>
      <c r="C23" s="190" t="s">
        <v>302</v>
      </c>
      <c r="D23" s="189" t="s">
        <v>303</v>
      </c>
      <c r="E23" s="190" t="s">
        <v>358</v>
      </c>
      <c r="F23" s="190" t="s">
        <v>339</v>
      </c>
      <c r="G23" s="191" t="s">
        <v>359</v>
      </c>
    </row>
    <row r="24" spans="1:7" s="187" customFormat="1" ht="89.25">
      <c r="A24" s="185">
        <v>44019</v>
      </c>
      <c r="B24" s="186">
        <v>21</v>
      </c>
      <c r="C24" s="190" t="s">
        <v>302</v>
      </c>
      <c r="D24" s="189" t="s">
        <v>303</v>
      </c>
      <c r="E24" s="191" t="s">
        <v>362</v>
      </c>
      <c r="F24" s="190" t="s">
        <v>341</v>
      </c>
      <c r="G24" s="191" t="s">
        <v>361</v>
      </c>
    </row>
    <row r="25" spans="1:7" s="187" customFormat="1" ht="25.5">
      <c r="A25" s="185">
        <v>44037</v>
      </c>
      <c r="B25" s="186">
        <v>22</v>
      </c>
      <c r="C25" s="190" t="s">
        <v>364</v>
      </c>
      <c r="D25" s="189" t="s">
        <v>297</v>
      </c>
      <c r="E25" s="191" t="s">
        <v>297</v>
      </c>
      <c r="F25" s="190" t="s">
        <v>365</v>
      </c>
      <c r="G25" s="191" t="s">
        <v>366</v>
      </c>
    </row>
    <row r="26" spans="1:7" s="187" customFormat="1" ht="38.25">
      <c r="A26" s="185">
        <v>44037</v>
      </c>
      <c r="B26" s="186">
        <v>23</v>
      </c>
      <c r="C26" s="190" t="s">
        <v>326</v>
      </c>
      <c r="D26" s="239" t="s">
        <v>328</v>
      </c>
      <c r="E26" s="190" t="s">
        <v>327</v>
      </c>
      <c r="F26" s="190" t="s">
        <v>367</v>
      </c>
      <c r="G26" s="191" t="s">
        <v>368</v>
      </c>
    </row>
    <row r="27" spans="1:7" s="187" customFormat="1" ht="38.25">
      <c r="A27" s="185">
        <v>44037</v>
      </c>
      <c r="B27" s="186">
        <v>24</v>
      </c>
      <c r="C27" s="190" t="s">
        <v>318</v>
      </c>
      <c r="D27" s="189" t="s">
        <v>319</v>
      </c>
      <c r="E27" s="190" t="s">
        <v>320</v>
      </c>
      <c r="F27" s="190" t="s">
        <v>367</v>
      </c>
      <c r="G27" s="191" t="s">
        <v>369</v>
      </c>
    </row>
    <row r="28" spans="1:7" s="187" customFormat="1" ht="25.5">
      <c r="A28" s="185">
        <v>44037</v>
      </c>
      <c r="B28" s="186">
        <v>25</v>
      </c>
      <c r="C28" s="190" t="s">
        <v>318</v>
      </c>
      <c r="D28" s="189" t="s">
        <v>370</v>
      </c>
      <c r="E28" s="191" t="s">
        <v>371</v>
      </c>
      <c r="F28" s="190" t="s">
        <v>305</v>
      </c>
      <c r="G28" s="191" t="s">
        <v>372</v>
      </c>
    </row>
    <row r="29" spans="1:7" ht="12.75">
      <c r="A29" s="185"/>
      <c r="B29" s="186"/>
      <c r="C29" s="187"/>
      <c r="D29" s="189"/>
      <c r="E29" s="187"/>
      <c r="F29" s="187"/>
      <c r="G29" s="187"/>
    </row>
  </sheetData>
  <sheetProtection/>
  <printOptions/>
  <pageMargins left="0.7" right="0.7" top="0.75" bottom="0.75" header="0.3" footer="0.3"/>
  <pageSetup orientation="portrait" paperSize="9"/>
  <drawing r:id="rId2"/>
  <tableParts>
    <tablePart r:id="rId1"/>
  </tablePart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46"/>
  <sheetViews>
    <sheetView zoomScalePageLayoutView="0" workbookViewId="0" topLeftCell="A1">
      <selection activeCell="K37" sqref="K37"/>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8" width="16.7109375" style="17" customWidth="1"/>
    <col min="9" max="9" width="8.00390625" style="17" customWidth="1"/>
    <col min="10" max="10" width="3.7109375" style="17" customWidth="1"/>
    <col min="11" max="16" width="10.7109375" style="17" customWidth="1"/>
    <col min="17" max="17" width="4.00390625" style="17" customWidth="1"/>
    <col min="18" max="16384" width="9.140625" style="17" customWidth="1"/>
  </cols>
  <sheetData>
    <row r="1" ht="23.25" customHeight="1" thickBot="1">
      <c r="A1" s="17" t="s">
        <v>17</v>
      </c>
    </row>
    <row r="2" spans="2:18" ht="15" customHeight="1">
      <c r="B2" s="143"/>
      <c r="C2" s="144"/>
      <c r="D2" s="144"/>
      <c r="E2" s="144"/>
      <c r="F2" s="144"/>
      <c r="G2" s="144"/>
      <c r="H2" s="144"/>
      <c r="I2" s="145"/>
      <c r="J2" s="18"/>
      <c r="K2" s="18"/>
      <c r="L2" s="18"/>
      <c r="M2" s="18"/>
      <c r="N2" s="18"/>
      <c r="O2" s="18"/>
      <c r="P2" s="18"/>
      <c r="Q2" s="18"/>
      <c r="R2" s="19"/>
    </row>
    <row r="3" spans="2:18" ht="21" customHeight="1">
      <c r="B3" s="146"/>
      <c r="C3" s="148"/>
      <c r="D3" s="147" t="s">
        <v>18</v>
      </c>
      <c r="E3" s="148"/>
      <c r="F3" s="148"/>
      <c r="G3" s="148"/>
      <c r="H3" s="147"/>
      <c r="I3" s="149"/>
      <c r="J3" s="20"/>
      <c r="K3" s="20"/>
      <c r="L3" s="20"/>
      <c r="M3" s="20"/>
      <c r="N3" s="20"/>
      <c r="O3" s="20"/>
      <c r="P3" s="20"/>
      <c r="Q3" s="21"/>
      <c r="R3" s="19"/>
    </row>
    <row r="4" spans="2:18" ht="15" customHeight="1" thickBot="1">
      <c r="B4" s="146"/>
      <c r="C4" s="150"/>
      <c r="D4" s="151"/>
      <c r="E4" s="150"/>
      <c r="F4" s="150"/>
      <c r="G4" s="150"/>
      <c r="H4" s="152"/>
      <c r="I4" s="149"/>
      <c r="J4" s="22"/>
      <c r="K4" s="22"/>
      <c r="L4" s="22"/>
      <c r="M4" s="22"/>
      <c r="N4" s="22"/>
      <c r="O4" s="22"/>
      <c r="P4" s="22"/>
      <c r="Q4" s="18"/>
      <c r="R4" s="19"/>
    </row>
    <row r="5" spans="2:18" s="23" customFormat="1" ht="15" customHeight="1">
      <c r="B5" s="24"/>
      <c r="C5" s="25"/>
      <c r="D5" s="25"/>
      <c r="E5" s="25"/>
      <c r="F5" s="25"/>
      <c r="G5" s="25"/>
      <c r="H5" s="25"/>
      <c r="I5" s="26"/>
      <c r="J5" s="27"/>
      <c r="K5" s="22"/>
      <c r="L5" s="22"/>
      <c r="M5" s="22"/>
      <c r="N5" s="22"/>
      <c r="O5" s="22"/>
      <c r="P5" s="22"/>
      <c r="Q5" s="20"/>
      <c r="R5" s="28"/>
    </row>
    <row r="6" spans="2:18" s="153" customFormat="1" ht="15" customHeight="1">
      <c r="B6" s="34"/>
      <c r="C6" s="29"/>
      <c r="D6" s="29"/>
      <c r="E6" s="29"/>
      <c r="F6" s="29"/>
      <c r="G6" s="29"/>
      <c r="H6" s="29"/>
      <c r="I6" s="35"/>
      <c r="J6" s="27"/>
      <c r="K6" s="22"/>
      <c r="L6" s="22"/>
      <c r="M6" s="22"/>
      <c r="N6" s="22"/>
      <c r="O6" s="22"/>
      <c r="P6" s="22"/>
      <c r="Q6" s="20"/>
      <c r="R6" s="22"/>
    </row>
    <row r="7" spans="2:18" s="153" customFormat="1" ht="15" customHeight="1">
      <c r="B7" s="34"/>
      <c r="C7" s="29"/>
      <c r="D7" s="29"/>
      <c r="E7" s="29"/>
      <c r="F7" s="29"/>
      <c r="G7" s="29"/>
      <c r="H7" s="29"/>
      <c r="I7" s="35"/>
      <c r="J7" s="27"/>
      <c r="K7" s="22"/>
      <c r="L7" s="22"/>
      <c r="M7" s="22"/>
      <c r="N7" s="22"/>
      <c r="O7" s="22"/>
      <c r="P7" s="22"/>
      <c r="Q7" s="20"/>
      <c r="R7" s="22"/>
    </row>
    <row r="8" spans="2:18" s="153" customFormat="1" ht="15" customHeight="1">
      <c r="B8" s="34"/>
      <c r="C8" s="29"/>
      <c r="D8" s="29"/>
      <c r="E8" s="29"/>
      <c r="F8" s="29"/>
      <c r="G8" s="29"/>
      <c r="H8" s="29"/>
      <c r="I8" s="35"/>
      <c r="J8" s="27"/>
      <c r="K8" s="22"/>
      <c r="L8" s="22"/>
      <c r="M8" s="22"/>
      <c r="N8" s="22"/>
      <c r="O8" s="22"/>
      <c r="P8" s="22"/>
      <c r="Q8" s="20"/>
      <c r="R8" s="22"/>
    </row>
    <row r="9" spans="2:18" s="153" customFormat="1" ht="15" customHeight="1">
      <c r="B9" s="34"/>
      <c r="C9" s="29"/>
      <c r="D9" s="29"/>
      <c r="E9" s="29"/>
      <c r="F9" s="29"/>
      <c r="G9" s="29"/>
      <c r="H9" s="29"/>
      <c r="I9" s="35"/>
      <c r="J9" s="27"/>
      <c r="K9" s="22"/>
      <c r="L9" s="22"/>
      <c r="M9" s="22"/>
      <c r="N9" s="22"/>
      <c r="O9" s="22"/>
      <c r="P9" s="22"/>
      <c r="Q9" s="20"/>
      <c r="R9" s="22"/>
    </row>
    <row r="10" spans="2:18" s="153" customFormat="1" ht="15" customHeight="1">
      <c r="B10" s="34"/>
      <c r="C10" s="29"/>
      <c r="D10" s="29"/>
      <c r="E10" s="29"/>
      <c r="F10" s="29"/>
      <c r="G10" s="29"/>
      <c r="H10" s="29"/>
      <c r="I10" s="35"/>
      <c r="J10" s="27"/>
      <c r="K10" s="22"/>
      <c r="L10" s="22"/>
      <c r="M10" s="22"/>
      <c r="N10" s="22"/>
      <c r="O10" s="22"/>
      <c r="P10" s="22"/>
      <c r="Q10" s="20"/>
      <c r="R10" s="22"/>
    </row>
    <row r="11" spans="2:18" s="153" customFormat="1" ht="15" customHeight="1">
      <c r="B11" s="34"/>
      <c r="C11" s="29"/>
      <c r="D11" s="29"/>
      <c r="E11" s="29"/>
      <c r="F11" s="29"/>
      <c r="G11" s="29"/>
      <c r="H11" s="29"/>
      <c r="I11" s="35"/>
      <c r="J11" s="27"/>
      <c r="K11" s="22"/>
      <c r="L11" s="22"/>
      <c r="M11" s="22"/>
      <c r="N11" s="22"/>
      <c r="O11" s="22"/>
      <c r="P11" s="22"/>
      <c r="Q11" s="20"/>
      <c r="R11" s="22"/>
    </row>
    <row r="12" spans="2:18" s="153" customFormat="1" ht="15" customHeight="1">
      <c r="B12" s="34"/>
      <c r="C12" s="29"/>
      <c r="D12" s="29"/>
      <c r="E12" s="29"/>
      <c r="F12" s="29"/>
      <c r="G12" s="29"/>
      <c r="H12" s="29"/>
      <c r="I12" s="35"/>
      <c r="J12" s="27"/>
      <c r="K12" s="22"/>
      <c r="L12" s="22"/>
      <c r="M12" s="22"/>
      <c r="N12" s="22"/>
      <c r="O12" s="22"/>
      <c r="P12" s="22"/>
      <c r="Q12" s="20"/>
      <c r="R12" s="22"/>
    </row>
    <row r="13" spans="2:18" s="153" customFormat="1" ht="15" customHeight="1">
      <c r="B13" s="34"/>
      <c r="C13" s="29"/>
      <c r="D13" s="29"/>
      <c r="E13" s="29"/>
      <c r="F13" s="29"/>
      <c r="G13" s="29"/>
      <c r="H13" s="29"/>
      <c r="I13" s="35"/>
      <c r="J13" s="27"/>
      <c r="K13" s="22"/>
      <c r="L13" s="22"/>
      <c r="M13" s="22"/>
      <c r="N13" s="22"/>
      <c r="O13" s="22"/>
      <c r="P13" s="22"/>
      <c r="Q13" s="20"/>
      <c r="R13" s="22"/>
    </row>
    <row r="14" spans="2:18" s="153" customFormat="1" ht="15" customHeight="1">
      <c r="B14" s="34"/>
      <c r="C14" s="384"/>
      <c r="D14" s="384"/>
      <c r="E14" s="384"/>
      <c r="F14" s="29"/>
      <c r="G14" s="29"/>
      <c r="H14" s="29"/>
      <c r="I14" s="35"/>
      <c r="J14" s="27"/>
      <c r="K14" s="22"/>
      <c r="L14" s="22"/>
      <c r="M14" s="22"/>
      <c r="N14" s="22"/>
      <c r="O14" s="22"/>
      <c r="P14" s="22"/>
      <c r="Q14" s="20"/>
      <c r="R14" s="22"/>
    </row>
    <row r="15" spans="2:18" s="153" customFormat="1" ht="15" customHeight="1">
      <c r="B15" s="34"/>
      <c r="C15" s="29"/>
      <c r="D15" s="29"/>
      <c r="E15" s="29"/>
      <c r="F15" s="29"/>
      <c r="G15" s="29"/>
      <c r="H15" s="29"/>
      <c r="I15" s="35"/>
      <c r="J15" s="27"/>
      <c r="K15" s="154"/>
      <c r="L15" s="22"/>
      <c r="M15" s="22"/>
      <c r="N15" s="22"/>
      <c r="O15" s="22"/>
      <c r="P15" s="22"/>
      <c r="Q15" s="20"/>
      <c r="R15" s="22"/>
    </row>
    <row r="16" spans="2:18" s="153" customFormat="1" ht="15" customHeight="1">
      <c r="B16" s="34"/>
      <c r="C16" s="29"/>
      <c r="D16" s="29"/>
      <c r="E16" s="29"/>
      <c r="F16" s="29"/>
      <c r="G16" s="29"/>
      <c r="H16" s="29"/>
      <c r="I16" s="35"/>
      <c r="J16" s="27"/>
      <c r="K16" s="22"/>
      <c r="L16" s="22"/>
      <c r="M16" s="22"/>
      <c r="N16" s="22"/>
      <c r="O16" s="22"/>
      <c r="P16" s="22"/>
      <c r="Q16" s="20"/>
      <c r="R16" s="22"/>
    </row>
    <row r="17" spans="2:18" s="153" customFormat="1" ht="15" customHeight="1">
      <c r="B17" s="34"/>
      <c r="C17" s="29"/>
      <c r="D17" s="29"/>
      <c r="E17" s="29"/>
      <c r="F17" s="29"/>
      <c r="G17" s="29"/>
      <c r="H17" s="29"/>
      <c r="I17" s="35"/>
      <c r="J17" s="27"/>
      <c r="K17" s="22"/>
      <c r="L17" s="22"/>
      <c r="M17" s="22"/>
      <c r="N17" s="22"/>
      <c r="O17" s="22"/>
      <c r="P17" s="22"/>
      <c r="Q17" s="20"/>
      <c r="R17" s="22"/>
    </row>
    <row r="18" spans="2:18" s="153" customFormat="1" ht="15" customHeight="1">
      <c r="B18" s="34"/>
      <c r="C18" s="29"/>
      <c r="D18" s="29"/>
      <c r="E18" s="29"/>
      <c r="F18" s="29"/>
      <c r="G18" s="29"/>
      <c r="H18" s="29"/>
      <c r="I18" s="35"/>
      <c r="J18" s="27"/>
      <c r="K18" s="22"/>
      <c r="L18" s="22"/>
      <c r="M18" s="22"/>
      <c r="N18" s="22"/>
      <c r="O18" s="22"/>
      <c r="P18" s="22"/>
      <c r="Q18" s="20"/>
      <c r="R18" s="22"/>
    </row>
    <row r="19" spans="2:18" s="153" customFormat="1" ht="15" customHeight="1">
      <c r="B19" s="34"/>
      <c r="C19" s="29"/>
      <c r="D19" s="29"/>
      <c r="E19" s="29"/>
      <c r="F19" s="29"/>
      <c r="G19" s="29"/>
      <c r="H19" s="29"/>
      <c r="I19" s="35"/>
      <c r="J19" s="27"/>
      <c r="K19" s="22"/>
      <c r="L19" s="22"/>
      <c r="M19" s="22"/>
      <c r="N19" s="22"/>
      <c r="O19" s="22"/>
      <c r="P19" s="22"/>
      <c r="Q19" s="20"/>
      <c r="R19" s="22"/>
    </row>
    <row r="20" spans="2:18" s="153" customFormat="1" ht="15" customHeight="1">
      <c r="B20" s="34"/>
      <c r="C20" s="29"/>
      <c r="D20" s="29"/>
      <c r="E20" s="29"/>
      <c r="F20" s="29"/>
      <c r="G20" s="29"/>
      <c r="H20" s="29"/>
      <c r="I20" s="35"/>
      <c r="J20" s="27"/>
      <c r="K20" s="22"/>
      <c r="L20" s="22"/>
      <c r="M20" s="22"/>
      <c r="N20" s="22"/>
      <c r="O20" s="22"/>
      <c r="P20" s="22"/>
      <c r="Q20" s="20"/>
      <c r="R20" s="22"/>
    </row>
    <row r="21" spans="2:18" s="153" customFormat="1" ht="15.75" customHeight="1">
      <c r="B21" s="34"/>
      <c r="C21" s="29"/>
      <c r="D21" s="29"/>
      <c r="E21" s="29"/>
      <c r="F21" s="29"/>
      <c r="G21" s="29"/>
      <c r="H21" s="29"/>
      <c r="I21" s="35"/>
      <c r="J21" s="27"/>
      <c r="K21" s="22"/>
      <c r="L21" s="22"/>
      <c r="M21" s="22"/>
      <c r="N21" s="22"/>
      <c r="O21" s="22"/>
      <c r="P21" s="22"/>
      <c r="Q21" s="20"/>
      <c r="R21" s="22"/>
    </row>
    <row r="22" spans="2:18" s="153" customFormat="1" ht="15.75" customHeight="1">
      <c r="B22" s="34"/>
      <c r="C22" s="29"/>
      <c r="D22" s="29"/>
      <c r="E22" s="29"/>
      <c r="F22" s="29"/>
      <c r="G22" s="29"/>
      <c r="H22" s="29"/>
      <c r="I22" s="35"/>
      <c r="J22" s="27"/>
      <c r="K22" s="22"/>
      <c r="L22" s="22"/>
      <c r="M22" s="22"/>
      <c r="N22" s="22"/>
      <c r="O22" s="22"/>
      <c r="P22" s="22"/>
      <c r="Q22" s="20"/>
      <c r="R22" s="22"/>
    </row>
    <row r="23" spans="2:18" s="153" customFormat="1" ht="15" customHeight="1">
      <c r="B23" s="34"/>
      <c r="C23" s="29"/>
      <c r="D23" s="29"/>
      <c r="E23" s="29"/>
      <c r="F23" s="29"/>
      <c r="G23" s="29"/>
      <c r="H23" s="29"/>
      <c r="I23" s="35"/>
      <c r="J23" s="27"/>
      <c r="K23" s="22"/>
      <c r="L23" s="22"/>
      <c r="M23" s="22"/>
      <c r="N23" s="22"/>
      <c r="O23" s="22"/>
      <c r="P23" s="22"/>
      <c r="Q23" s="20"/>
      <c r="R23" s="22"/>
    </row>
    <row r="24" spans="2:18" s="153" customFormat="1" ht="15" customHeight="1">
      <c r="B24" s="34"/>
      <c r="C24" s="29"/>
      <c r="D24" s="29"/>
      <c r="E24" s="29"/>
      <c r="F24" s="29"/>
      <c r="G24" s="29"/>
      <c r="H24" s="29"/>
      <c r="I24" s="35"/>
      <c r="J24" s="27"/>
      <c r="K24" s="22"/>
      <c r="L24" s="22"/>
      <c r="M24" s="22"/>
      <c r="N24" s="22"/>
      <c r="O24" s="22"/>
      <c r="P24" s="22"/>
      <c r="Q24" s="20"/>
      <c r="R24" s="22"/>
    </row>
    <row r="25" spans="2:18" s="153" customFormat="1" ht="15" customHeight="1">
      <c r="B25" s="34"/>
      <c r="C25" s="29"/>
      <c r="D25" s="29"/>
      <c r="E25" s="29"/>
      <c r="F25" s="29"/>
      <c r="G25" s="29"/>
      <c r="H25" s="29"/>
      <c r="I25" s="35"/>
      <c r="J25" s="27"/>
      <c r="K25" s="22"/>
      <c r="L25" s="22"/>
      <c r="M25" s="22"/>
      <c r="N25" s="22"/>
      <c r="O25" s="22"/>
      <c r="P25" s="22"/>
      <c r="Q25" s="20"/>
      <c r="R25" s="22"/>
    </row>
    <row r="26" spans="2:18" s="153" customFormat="1" ht="15" customHeight="1">
      <c r="B26" s="34"/>
      <c r="C26" s="29"/>
      <c r="D26" s="30"/>
      <c r="E26" s="29"/>
      <c r="F26" s="29"/>
      <c r="G26" s="29"/>
      <c r="H26" s="29"/>
      <c r="I26" s="35"/>
      <c r="J26" s="27"/>
      <c r="K26" s="22"/>
      <c r="L26" s="22"/>
      <c r="M26" s="22"/>
      <c r="N26" s="22"/>
      <c r="O26" s="22"/>
      <c r="P26" s="22"/>
      <c r="Q26" s="20"/>
      <c r="R26" s="22"/>
    </row>
    <row r="27" spans="1:18" s="153" customFormat="1" ht="15" customHeight="1">
      <c r="A27" s="22"/>
      <c r="B27" s="34"/>
      <c r="C27" s="30"/>
      <c r="D27" s="30"/>
      <c r="E27" s="29"/>
      <c r="F27" s="29"/>
      <c r="G27" s="29"/>
      <c r="H27" s="29"/>
      <c r="I27" s="35"/>
      <c r="J27" s="27"/>
      <c r="K27" s="22"/>
      <c r="L27" s="22"/>
      <c r="M27" s="22"/>
      <c r="N27" s="22"/>
      <c r="O27" s="22"/>
      <c r="P27" s="22"/>
      <c r="Q27" s="20"/>
      <c r="R27" s="22"/>
    </row>
    <row r="28" spans="1:18" s="153" customFormat="1" ht="15" customHeight="1">
      <c r="A28" s="22"/>
      <c r="B28" s="34"/>
      <c r="C28" s="30"/>
      <c r="D28" s="30"/>
      <c r="E28" s="29"/>
      <c r="F28" s="29"/>
      <c r="G28" s="29"/>
      <c r="H28" s="29"/>
      <c r="I28" s="35"/>
      <c r="J28" s="27"/>
      <c r="K28" s="22"/>
      <c r="L28" s="22"/>
      <c r="M28" s="22"/>
      <c r="N28" s="22"/>
      <c r="O28" s="22"/>
      <c r="P28" s="22"/>
      <c r="Q28" s="20"/>
      <c r="R28" s="22"/>
    </row>
    <row r="29" spans="1:18" s="153" customFormat="1" ht="15" customHeight="1">
      <c r="A29" s="22"/>
      <c r="B29" s="34"/>
      <c r="C29" s="30"/>
      <c r="D29" s="30"/>
      <c r="E29" s="29"/>
      <c r="F29" s="29"/>
      <c r="G29" s="29"/>
      <c r="H29" s="29"/>
      <c r="I29" s="35"/>
      <c r="J29" s="27"/>
      <c r="K29" s="22"/>
      <c r="L29" s="22"/>
      <c r="M29" s="22"/>
      <c r="N29" s="22"/>
      <c r="O29" s="22"/>
      <c r="P29" s="22"/>
      <c r="Q29" s="20"/>
      <c r="R29" s="22"/>
    </row>
    <row r="30" spans="1:18" s="153" customFormat="1" ht="15" customHeight="1">
      <c r="A30" s="22"/>
      <c r="B30" s="34"/>
      <c r="C30" s="29"/>
      <c r="D30" s="29"/>
      <c r="E30" s="29"/>
      <c r="F30" s="29"/>
      <c r="G30" s="29"/>
      <c r="H30" s="29"/>
      <c r="I30" s="35"/>
      <c r="J30" s="27"/>
      <c r="K30" s="22"/>
      <c r="L30" s="22"/>
      <c r="M30" s="22"/>
      <c r="N30" s="22"/>
      <c r="O30" s="22"/>
      <c r="P30" s="22"/>
      <c r="Q30" s="20"/>
      <c r="R30" s="22"/>
    </row>
    <row r="31" spans="1:18" s="153" customFormat="1" ht="15" customHeight="1">
      <c r="A31" s="22"/>
      <c r="B31" s="34"/>
      <c r="C31" s="29"/>
      <c r="D31" s="29"/>
      <c r="E31" s="29"/>
      <c r="F31" s="29"/>
      <c r="G31" s="29"/>
      <c r="H31" s="29"/>
      <c r="I31" s="35"/>
      <c r="J31" s="33"/>
      <c r="K31" s="20"/>
      <c r="L31" s="20"/>
      <c r="M31" s="20"/>
      <c r="N31" s="20"/>
      <c r="O31" s="20"/>
      <c r="P31" s="20"/>
      <c r="Q31" s="20"/>
      <c r="R31" s="22"/>
    </row>
    <row r="32" spans="1:18" s="153" customFormat="1" ht="15" customHeight="1">
      <c r="A32" s="22"/>
      <c r="B32" s="34"/>
      <c r="C32" s="29"/>
      <c r="D32" s="29"/>
      <c r="E32" s="29"/>
      <c r="F32" s="29"/>
      <c r="G32" s="29"/>
      <c r="H32" s="29"/>
      <c r="I32" s="35"/>
      <c r="J32" s="33"/>
      <c r="K32" s="20"/>
      <c r="L32" s="20"/>
      <c r="M32" s="20"/>
      <c r="N32" s="20"/>
      <c r="O32" s="20"/>
      <c r="P32" s="20"/>
      <c r="Q32" s="20"/>
      <c r="R32" s="22"/>
    </row>
    <row r="33" spans="1:18" s="153" customFormat="1" ht="15" customHeight="1">
      <c r="A33" s="22"/>
      <c r="B33" s="34"/>
      <c r="C33" s="29"/>
      <c r="D33" s="29"/>
      <c r="E33" s="29"/>
      <c r="F33" s="29"/>
      <c r="G33" s="29"/>
      <c r="H33" s="29"/>
      <c r="I33" s="35"/>
      <c r="J33" s="33"/>
      <c r="K33" s="20"/>
      <c r="L33" s="20"/>
      <c r="M33" s="20"/>
      <c r="N33" s="20"/>
      <c r="O33" s="20"/>
      <c r="P33" s="20"/>
      <c r="Q33" s="20"/>
      <c r="R33" s="22"/>
    </row>
    <row r="34" spans="1:18" s="153" customFormat="1" ht="15" customHeight="1">
      <c r="A34" s="22"/>
      <c r="B34" s="34"/>
      <c r="C34" s="29"/>
      <c r="D34" s="29"/>
      <c r="E34" s="29"/>
      <c r="F34" s="29"/>
      <c r="G34" s="29"/>
      <c r="H34" s="29"/>
      <c r="I34" s="35"/>
      <c r="J34" s="33"/>
      <c r="K34" s="20"/>
      <c r="L34" s="20"/>
      <c r="M34" s="20"/>
      <c r="N34" s="20"/>
      <c r="O34" s="20"/>
      <c r="P34" s="20"/>
      <c r="Q34" s="20"/>
      <c r="R34" s="22"/>
    </row>
    <row r="35" spans="1:18" s="153" customFormat="1" ht="15" customHeight="1">
      <c r="A35" s="22"/>
      <c r="B35" s="34"/>
      <c r="C35" s="29"/>
      <c r="D35" s="29"/>
      <c r="E35" s="29"/>
      <c r="F35" s="32"/>
      <c r="G35" s="29"/>
      <c r="H35" s="29"/>
      <c r="I35" s="35"/>
      <c r="J35" s="33"/>
      <c r="K35" s="20"/>
      <c r="L35" s="20"/>
      <c r="M35" s="20"/>
      <c r="N35" s="20"/>
      <c r="O35" s="20"/>
      <c r="P35" s="20"/>
      <c r="Q35" s="20"/>
      <c r="R35" s="22"/>
    </row>
    <row r="36" spans="1:18" s="153" customFormat="1" ht="15" customHeight="1">
      <c r="A36" s="22"/>
      <c r="B36" s="34"/>
      <c r="C36" s="29"/>
      <c r="D36" s="29"/>
      <c r="E36" s="29"/>
      <c r="F36" s="32"/>
      <c r="G36" s="29"/>
      <c r="H36" s="31"/>
      <c r="I36" s="35"/>
      <c r="J36" s="33"/>
      <c r="K36" s="20"/>
      <c r="L36" s="20"/>
      <c r="M36" s="20"/>
      <c r="N36" s="20"/>
      <c r="O36" s="20"/>
      <c r="P36" s="20"/>
      <c r="Q36" s="20"/>
      <c r="R36" s="22"/>
    </row>
    <row r="37" spans="1:18" s="153" customFormat="1" ht="15" customHeight="1">
      <c r="A37" s="22"/>
      <c r="B37" s="34"/>
      <c r="C37" s="29"/>
      <c r="D37" s="29"/>
      <c r="E37" s="29"/>
      <c r="F37" s="32"/>
      <c r="G37" s="29"/>
      <c r="H37" s="29"/>
      <c r="I37" s="35"/>
      <c r="J37" s="33"/>
      <c r="K37" s="20"/>
      <c r="L37" s="20"/>
      <c r="M37" s="20"/>
      <c r="N37" s="20"/>
      <c r="O37" s="20"/>
      <c r="P37" s="20"/>
      <c r="Q37" s="20"/>
      <c r="R37" s="22"/>
    </row>
    <row r="38" spans="1:18" s="153" customFormat="1" ht="15" customHeight="1">
      <c r="A38" s="22"/>
      <c r="B38" s="34"/>
      <c r="C38" s="29"/>
      <c r="D38" s="29"/>
      <c r="E38" s="29"/>
      <c r="F38" s="32"/>
      <c r="G38" s="29"/>
      <c r="H38" s="29"/>
      <c r="I38" s="35"/>
      <c r="J38" s="33"/>
      <c r="K38" s="20"/>
      <c r="L38" s="20"/>
      <c r="M38" s="20"/>
      <c r="N38" s="20"/>
      <c r="O38" s="20"/>
      <c r="P38" s="20"/>
      <c r="Q38" s="20"/>
      <c r="R38" s="22"/>
    </row>
    <row r="39" spans="1:18" s="153" customFormat="1" ht="15" customHeight="1">
      <c r="A39" s="22"/>
      <c r="B39" s="34"/>
      <c r="C39" s="29"/>
      <c r="D39" s="29"/>
      <c r="E39" s="29"/>
      <c r="F39" s="32"/>
      <c r="G39" s="29"/>
      <c r="H39" s="29"/>
      <c r="I39" s="35"/>
      <c r="J39" s="33"/>
      <c r="K39" s="20"/>
      <c r="L39" s="20"/>
      <c r="M39" s="20"/>
      <c r="N39" s="20"/>
      <c r="O39" s="20"/>
      <c r="P39" s="20"/>
      <c r="Q39" s="20"/>
      <c r="R39" s="22"/>
    </row>
    <row r="40" spans="1:9" ht="24" thickBot="1">
      <c r="A40" s="19"/>
      <c r="B40" s="36"/>
      <c r="C40" s="37"/>
      <c r="D40" s="37"/>
      <c r="E40" s="38"/>
      <c r="F40" s="38"/>
      <c r="G40" s="38"/>
      <c r="H40" s="38"/>
      <c r="I40" s="39"/>
    </row>
    <row r="41" spans="1:8" ht="36" customHeight="1">
      <c r="A41" s="19"/>
      <c r="B41" s="18"/>
      <c r="C41" s="18"/>
      <c r="D41" s="18"/>
      <c r="F41" s="18"/>
      <c r="G41" s="18"/>
      <c r="H41" s="18"/>
    </row>
    <row r="42" spans="1:4" ht="23.25">
      <c r="A42" s="19"/>
      <c r="B42" s="19"/>
      <c r="C42" s="19"/>
      <c r="D42" s="19"/>
    </row>
    <row r="43" spans="1:4" ht="23.25">
      <c r="A43" s="19"/>
      <c r="B43" s="19"/>
      <c r="C43" s="19"/>
      <c r="D43" s="19"/>
    </row>
    <row r="45" spans="7:8" ht="23.25">
      <c r="G45" s="18"/>
      <c r="H45" s="19"/>
    </row>
    <row r="46" ht="23.25">
      <c r="G46"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dimension ref="A2:G31"/>
  <sheetViews>
    <sheetView showGridLines="0" zoomScale="90" zoomScaleNormal="90" zoomScalePageLayoutView="0" workbookViewId="0" topLeftCell="A22">
      <selection activeCell="I25" sqref="I25"/>
    </sheetView>
  </sheetViews>
  <sheetFormatPr defaultColWidth="9.140625" defaultRowHeight="12.75"/>
  <cols>
    <col min="1" max="1" width="10.7109375" style="0" customWidth="1"/>
    <col min="2" max="2" width="20.00390625" style="182" customWidth="1"/>
    <col min="3" max="3" width="27.421875" style="0" customWidth="1"/>
    <col min="4" max="4" width="29.00390625" style="182" customWidth="1"/>
    <col min="5" max="5" width="30.28125" style="0" customWidth="1"/>
    <col min="6" max="6" width="64.00390625" style="0" customWidth="1"/>
    <col min="7" max="7" width="59.00390625" style="0" customWidth="1"/>
  </cols>
  <sheetData>
    <row r="2" spans="1:7" ht="12.75">
      <c r="A2" s="183" t="s">
        <v>238</v>
      </c>
      <c r="B2" s="184" t="s">
        <v>388</v>
      </c>
      <c r="C2" s="183" t="s">
        <v>240</v>
      </c>
      <c r="D2" s="184" t="s">
        <v>241</v>
      </c>
      <c r="E2" s="183" t="s">
        <v>244</v>
      </c>
      <c r="F2" s="183" t="s">
        <v>242</v>
      </c>
      <c r="G2" s="183" t="s">
        <v>243</v>
      </c>
    </row>
    <row r="3" spans="1:7" s="187" customFormat="1" ht="12.75">
      <c r="A3" s="185">
        <v>44316</v>
      </c>
      <c r="B3" s="186">
        <v>1</v>
      </c>
      <c r="C3" s="187" t="s">
        <v>389</v>
      </c>
      <c r="D3" s="186" t="s">
        <v>389</v>
      </c>
      <c r="E3" s="187" t="s">
        <v>390</v>
      </c>
      <c r="F3" s="191" t="s">
        <v>391</v>
      </c>
      <c r="G3" s="191" t="s">
        <v>475</v>
      </c>
    </row>
    <row r="4" spans="1:7" ht="12.75">
      <c r="A4" s="185">
        <v>44316</v>
      </c>
      <c r="B4" s="186">
        <v>2</v>
      </c>
      <c r="C4" s="187" t="s">
        <v>389</v>
      </c>
      <c r="D4" s="186" t="s">
        <v>389</v>
      </c>
      <c r="E4" s="187" t="s">
        <v>392</v>
      </c>
      <c r="F4" s="191" t="s">
        <v>393</v>
      </c>
      <c r="G4" s="191" t="s">
        <v>476</v>
      </c>
    </row>
    <row r="5" spans="1:7" ht="12.75">
      <c r="A5" s="185">
        <v>44316</v>
      </c>
      <c r="B5" s="186">
        <v>3</v>
      </c>
      <c r="C5" s="187" t="s">
        <v>335</v>
      </c>
      <c r="D5" s="186" t="s">
        <v>394</v>
      </c>
      <c r="E5" s="187" t="s">
        <v>395</v>
      </c>
      <c r="F5" s="191" t="s">
        <v>396</v>
      </c>
      <c r="G5" s="191" t="s">
        <v>397</v>
      </c>
    </row>
    <row r="6" spans="1:7" ht="12.75">
      <c r="A6" s="185">
        <v>44316</v>
      </c>
      <c r="B6" s="186">
        <v>4</v>
      </c>
      <c r="C6" s="190" t="s">
        <v>398</v>
      </c>
      <c r="D6" s="189" t="s">
        <v>394</v>
      </c>
      <c r="E6" s="190" t="s">
        <v>399</v>
      </c>
      <c r="F6" s="191" t="s">
        <v>400</v>
      </c>
      <c r="G6" s="191" t="s">
        <v>401</v>
      </c>
    </row>
    <row r="7" spans="1:7" ht="186.75" customHeight="1">
      <c r="A7" s="185">
        <v>44316</v>
      </c>
      <c r="B7" s="186">
        <v>5</v>
      </c>
      <c r="C7" s="190" t="s">
        <v>398</v>
      </c>
      <c r="D7" s="189" t="s">
        <v>394</v>
      </c>
      <c r="E7" s="190" t="s">
        <v>438</v>
      </c>
      <c r="F7" s="191" t="s">
        <v>480</v>
      </c>
      <c r="G7" s="191" t="s">
        <v>466</v>
      </c>
    </row>
    <row r="8" spans="1:7" ht="25.5">
      <c r="A8" s="185">
        <v>44316</v>
      </c>
      <c r="B8" s="186">
        <v>6</v>
      </c>
      <c r="C8" s="190" t="s">
        <v>398</v>
      </c>
      <c r="D8" s="189" t="s">
        <v>394</v>
      </c>
      <c r="E8" s="190" t="s">
        <v>428</v>
      </c>
      <c r="F8" s="191" t="s">
        <v>429</v>
      </c>
      <c r="G8" s="191" t="s">
        <v>430</v>
      </c>
    </row>
    <row r="9" spans="1:7" ht="38.25">
      <c r="A9" s="185">
        <v>44316</v>
      </c>
      <c r="B9" s="186">
        <v>7</v>
      </c>
      <c r="C9" s="190" t="s">
        <v>398</v>
      </c>
      <c r="D9" s="189" t="s">
        <v>394</v>
      </c>
      <c r="E9" s="190" t="s">
        <v>431</v>
      </c>
      <c r="F9" s="191" t="s">
        <v>437</v>
      </c>
      <c r="G9" s="191" t="s">
        <v>432</v>
      </c>
    </row>
    <row r="10" spans="1:7" ht="12.75">
      <c r="A10" s="185">
        <v>44316</v>
      </c>
      <c r="B10" s="186">
        <v>8</v>
      </c>
      <c r="C10" s="190" t="s">
        <v>335</v>
      </c>
      <c r="D10" s="189" t="s">
        <v>394</v>
      </c>
      <c r="E10" s="190" t="s">
        <v>456</v>
      </c>
      <c r="F10" s="191" t="s">
        <v>402</v>
      </c>
      <c r="G10" s="191" t="s">
        <v>403</v>
      </c>
    </row>
    <row r="11" spans="1:7" ht="25.5">
      <c r="A11" s="185">
        <v>44316</v>
      </c>
      <c r="B11" s="186">
        <v>9</v>
      </c>
      <c r="C11" s="190" t="s">
        <v>335</v>
      </c>
      <c r="D11" s="189" t="s">
        <v>394</v>
      </c>
      <c r="E11" s="190" t="s">
        <v>456</v>
      </c>
      <c r="F11" s="191" t="s">
        <v>457</v>
      </c>
      <c r="G11" s="191" t="s">
        <v>455</v>
      </c>
    </row>
    <row r="12" spans="1:7" ht="38.25">
      <c r="A12" s="185">
        <v>44316</v>
      </c>
      <c r="B12" s="186">
        <v>10</v>
      </c>
      <c r="C12" s="190" t="s">
        <v>335</v>
      </c>
      <c r="D12" s="189" t="s">
        <v>394</v>
      </c>
      <c r="E12" s="190" t="s">
        <v>458</v>
      </c>
      <c r="F12" s="271" t="s">
        <v>459</v>
      </c>
      <c r="G12" s="191" t="s">
        <v>479</v>
      </c>
    </row>
    <row r="13" spans="1:7" ht="63.75">
      <c r="A13" s="185">
        <v>44316</v>
      </c>
      <c r="B13" s="186">
        <v>11</v>
      </c>
      <c r="C13" s="190" t="s">
        <v>335</v>
      </c>
      <c r="D13" s="189" t="s">
        <v>394</v>
      </c>
      <c r="E13" s="190" t="s">
        <v>462</v>
      </c>
      <c r="F13" s="271" t="s">
        <v>460</v>
      </c>
      <c r="G13" s="191" t="s">
        <v>461</v>
      </c>
    </row>
    <row r="14" spans="1:7" ht="38.25">
      <c r="A14" s="185">
        <v>44316</v>
      </c>
      <c r="B14" s="186">
        <v>12</v>
      </c>
      <c r="C14" s="190" t="s">
        <v>335</v>
      </c>
      <c r="D14" s="189" t="s">
        <v>394</v>
      </c>
      <c r="E14" s="190" t="s">
        <v>468</v>
      </c>
      <c r="F14" s="271" t="s">
        <v>469</v>
      </c>
      <c r="G14" s="191" t="s">
        <v>470</v>
      </c>
    </row>
    <row r="15" spans="1:7" ht="102">
      <c r="A15" s="185">
        <v>44316</v>
      </c>
      <c r="B15" s="186">
        <v>13</v>
      </c>
      <c r="C15" s="190" t="s">
        <v>335</v>
      </c>
      <c r="D15" s="189" t="s">
        <v>394</v>
      </c>
      <c r="E15" s="190" t="s">
        <v>463</v>
      </c>
      <c r="F15" s="271" t="s">
        <v>464</v>
      </c>
      <c r="G15" s="191" t="s">
        <v>465</v>
      </c>
    </row>
    <row r="16" spans="1:7" ht="25.5">
      <c r="A16" s="185">
        <v>44316</v>
      </c>
      <c r="B16" s="186">
        <v>14</v>
      </c>
      <c r="C16" s="190" t="s">
        <v>335</v>
      </c>
      <c r="D16" s="189" t="s">
        <v>394</v>
      </c>
      <c r="E16" s="190" t="s">
        <v>450</v>
      </c>
      <c r="F16" s="191" t="s">
        <v>451</v>
      </c>
      <c r="G16" s="191" t="s">
        <v>452</v>
      </c>
    </row>
    <row r="17" spans="1:7" ht="25.5">
      <c r="A17" s="185">
        <v>44316</v>
      </c>
      <c r="B17" s="186">
        <v>15</v>
      </c>
      <c r="C17" s="190" t="s">
        <v>335</v>
      </c>
      <c r="D17" s="189" t="s">
        <v>394</v>
      </c>
      <c r="E17" s="190" t="s">
        <v>450</v>
      </c>
      <c r="F17" s="191" t="s">
        <v>453</v>
      </c>
      <c r="G17" s="191" t="s">
        <v>454</v>
      </c>
    </row>
    <row r="18" spans="1:7" ht="38.25">
      <c r="A18" s="185">
        <v>44316</v>
      </c>
      <c r="B18" s="186">
        <v>16</v>
      </c>
      <c r="C18" s="190" t="s">
        <v>335</v>
      </c>
      <c r="D18" s="189" t="s">
        <v>394</v>
      </c>
      <c r="E18" s="190" t="s">
        <v>471</v>
      </c>
      <c r="F18" s="191" t="s">
        <v>477</v>
      </c>
      <c r="G18" s="191" t="s">
        <v>474</v>
      </c>
    </row>
    <row r="19" spans="1:7" ht="38.25">
      <c r="A19" s="185">
        <v>44316</v>
      </c>
      <c r="B19" s="186">
        <v>17</v>
      </c>
      <c r="C19" s="190" t="s">
        <v>335</v>
      </c>
      <c r="D19" s="189" t="s">
        <v>394</v>
      </c>
      <c r="E19" s="190" t="s">
        <v>472</v>
      </c>
      <c r="F19" s="191" t="s">
        <v>473</v>
      </c>
      <c r="G19" s="191" t="s">
        <v>474</v>
      </c>
    </row>
    <row r="20" spans="1:7" ht="51">
      <c r="A20" s="185">
        <v>44316</v>
      </c>
      <c r="B20" s="186">
        <v>18</v>
      </c>
      <c r="C20" s="251" t="s">
        <v>404</v>
      </c>
      <c r="D20" s="186">
        <v>2.1</v>
      </c>
      <c r="E20" s="190" t="s">
        <v>405</v>
      </c>
      <c r="F20" s="191" t="s">
        <v>442</v>
      </c>
      <c r="G20" s="191" t="s">
        <v>406</v>
      </c>
    </row>
    <row r="21" spans="1:7" ht="25.5">
      <c r="A21" s="185">
        <v>44316</v>
      </c>
      <c r="B21" s="186">
        <v>19</v>
      </c>
      <c r="C21" s="190" t="s">
        <v>404</v>
      </c>
      <c r="D21" s="189">
        <v>2.1</v>
      </c>
      <c r="E21" s="190" t="s">
        <v>407</v>
      </c>
      <c r="F21" s="191" t="s">
        <v>408</v>
      </c>
      <c r="G21" s="191" t="s">
        <v>409</v>
      </c>
    </row>
    <row r="22" spans="1:7" ht="25.5">
      <c r="A22" s="185">
        <v>44316</v>
      </c>
      <c r="B22" s="186">
        <v>20</v>
      </c>
      <c r="C22" s="190" t="s">
        <v>347</v>
      </c>
      <c r="D22" s="189" t="s">
        <v>410</v>
      </c>
      <c r="E22" s="190" t="s">
        <v>411</v>
      </c>
      <c r="F22" s="191" t="s">
        <v>408</v>
      </c>
      <c r="G22" s="191" t="s">
        <v>409</v>
      </c>
    </row>
    <row r="23" spans="1:7" ht="25.5">
      <c r="A23" s="185">
        <v>44316</v>
      </c>
      <c r="B23" s="186">
        <v>21</v>
      </c>
      <c r="C23" s="190" t="s">
        <v>347</v>
      </c>
      <c r="D23" s="189" t="s">
        <v>412</v>
      </c>
      <c r="E23" s="190" t="s">
        <v>413</v>
      </c>
      <c r="F23" s="191" t="s">
        <v>408</v>
      </c>
      <c r="G23" s="191" t="s">
        <v>409</v>
      </c>
    </row>
    <row r="24" spans="1:7" ht="25.5">
      <c r="A24" s="185">
        <v>44316</v>
      </c>
      <c r="B24" s="186">
        <v>22</v>
      </c>
      <c r="C24" s="190" t="s">
        <v>414</v>
      </c>
      <c r="D24" s="189" t="s">
        <v>415</v>
      </c>
      <c r="E24" s="190" t="s">
        <v>416</v>
      </c>
      <c r="F24" s="191" t="s">
        <v>408</v>
      </c>
      <c r="G24" s="191" t="s">
        <v>409</v>
      </c>
    </row>
    <row r="25" spans="1:7" ht="12.75">
      <c r="A25" s="185">
        <v>44316</v>
      </c>
      <c r="B25" s="186">
        <v>23</v>
      </c>
      <c r="C25" s="187" t="s">
        <v>414</v>
      </c>
      <c r="D25" s="186" t="s">
        <v>415</v>
      </c>
      <c r="E25" s="187" t="s">
        <v>417</v>
      </c>
      <c r="F25" s="191" t="s">
        <v>418</v>
      </c>
      <c r="G25" s="191" t="s">
        <v>419</v>
      </c>
    </row>
    <row r="26" spans="1:7" ht="25.5">
      <c r="A26" s="185">
        <v>44316</v>
      </c>
      <c r="B26" s="186">
        <v>24</v>
      </c>
      <c r="C26" s="190" t="s">
        <v>302</v>
      </c>
      <c r="D26" s="186">
        <v>3.1</v>
      </c>
      <c r="E26" s="190" t="s">
        <v>420</v>
      </c>
      <c r="F26" s="191" t="s">
        <v>408</v>
      </c>
      <c r="G26" s="191" t="s">
        <v>409</v>
      </c>
    </row>
    <row r="27" spans="1:7" ht="12.75">
      <c r="A27" s="185">
        <v>44316</v>
      </c>
      <c r="B27" s="186">
        <v>25</v>
      </c>
      <c r="C27" s="190" t="s">
        <v>302</v>
      </c>
      <c r="D27" s="186">
        <v>3.1</v>
      </c>
      <c r="E27" s="190" t="s">
        <v>421</v>
      </c>
      <c r="F27" s="191" t="s">
        <v>422</v>
      </c>
      <c r="G27" s="191" t="s">
        <v>423</v>
      </c>
    </row>
    <row r="28" spans="1:7" ht="12.75">
      <c r="A28" s="185">
        <v>44316</v>
      </c>
      <c r="B28" s="186">
        <v>26</v>
      </c>
      <c r="C28" s="190" t="s">
        <v>318</v>
      </c>
      <c r="D28" s="189" t="s">
        <v>424</v>
      </c>
      <c r="E28" s="190" t="s">
        <v>425</v>
      </c>
      <c r="F28" s="191" t="s">
        <v>426</v>
      </c>
      <c r="G28" s="191" t="s">
        <v>427</v>
      </c>
    </row>
    <row r="29" spans="1:7" ht="12.75">
      <c r="A29" s="185">
        <v>44636</v>
      </c>
      <c r="B29" s="186">
        <f>B28+1</f>
        <v>27</v>
      </c>
      <c r="C29" s="190" t="s">
        <v>404</v>
      </c>
      <c r="D29" s="189" t="s">
        <v>424</v>
      </c>
      <c r="E29" s="190" t="s">
        <v>481</v>
      </c>
      <c r="F29" s="191" t="s">
        <v>482</v>
      </c>
      <c r="G29" s="191" t="s">
        <v>406</v>
      </c>
    </row>
    <row r="30" spans="1:7" ht="12.75">
      <c r="A30" s="185">
        <v>45027</v>
      </c>
      <c r="B30" s="186">
        <f>B28+1</f>
        <v>27</v>
      </c>
      <c r="C30" s="190" t="s">
        <v>335</v>
      </c>
      <c r="D30" s="189" t="s">
        <v>394</v>
      </c>
      <c r="E30" s="190" t="s">
        <v>498</v>
      </c>
      <c r="F30" s="191" t="s">
        <v>499</v>
      </c>
      <c r="G30" s="191" t="s">
        <v>500</v>
      </c>
    </row>
    <row r="31" spans="1:7" ht="25.5">
      <c r="A31" s="343">
        <v>45046</v>
      </c>
      <c r="B31" s="344">
        <v>28</v>
      </c>
      <c r="C31" s="345" t="s">
        <v>335</v>
      </c>
      <c r="D31" s="346" t="s">
        <v>394</v>
      </c>
      <c r="E31" s="345" t="s">
        <v>501</v>
      </c>
      <c r="F31" s="347" t="s">
        <v>502</v>
      </c>
      <c r="G31" s="348" t="s">
        <v>503</v>
      </c>
    </row>
  </sheetData>
  <sheetProtection/>
  <printOptions/>
  <pageMargins left="0.7" right="0.7" top="0.75" bottom="0.75" header="0.3" footer="0.3"/>
  <pageSetup horizontalDpi="600" verticalDpi="600" orientation="portrait" paperSize="9" r:id="rId3"/>
  <drawing r:id="rId2"/>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35" customWidth="1"/>
  </cols>
  <sheetData>
    <row r="1" ht="15" customHeight="1">
      <c r="A1" s="135" t="s">
        <v>154</v>
      </c>
    </row>
    <row r="2" ht="15" customHeight="1">
      <c r="A2" s="136" t="s">
        <v>155</v>
      </c>
    </row>
    <row r="3" ht="15" customHeight="1">
      <c r="A3" s="136" t="s">
        <v>156</v>
      </c>
    </row>
    <row r="4" ht="15" customHeight="1">
      <c r="A4" s="136" t="s">
        <v>157</v>
      </c>
    </row>
    <row r="5" ht="15" customHeight="1">
      <c r="A5" s="136" t="s">
        <v>158</v>
      </c>
    </row>
    <row r="6" ht="15" customHeight="1">
      <c r="A6" s="136" t="s">
        <v>159</v>
      </c>
    </row>
    <row r="7" ht="15" customHeight="1">
      <c r="A7" s="136" t="s">
        <v>160</v>
      </c>
    </row>
    <row r="8" ht="15" customHeight="1">
      <c r="A8" s="136" t="s">
        <v>161</v>
      </c>
    </row>
    <row r="9" ht="15" customHeight="1">
      <c r="A9" s="136" t="s">
        <v>153</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120" zoomScaleNormal="120"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3" width="47.140625" style="43" customWidth="1"/>
    <col min="4"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97</v>
      </c>
      <c r="D1" s="119"/>
    </row>
    <row r="2" spans="2:3" ht="15">
      <c r="B2" s="157" t="str">
        <f>Tradingname</f>
        <v>Australian Gas Networks Limited</v>
      </c>
      <c r="C2" s="158"/>
    </row>
    <row r="3" spans="2:3" ht="15">
      <c r="B3" s="159" t="s">
        <v>184</v>
      </c>
      <c r="C3" s="160">
        <f>Yearending</f>
        <v>44926</v>
      </c>
    </row>
    <row r="4" ht="20.25">
      <c r="B4" s="41"/>
    </row>
    <row r="5" ht="15.75">
      <c r="B5" s="64" t="s">
        <v>187</v>
      </c>
    </row>
    <row r="6" spans="2:8" ht="12.75">
      <c r="B6" s="45"/>
      <c r="C6" s="48"/>
      <c r="D6" s="48"/>
      <c r="E6" s="49"/>
      <c r="F6" s="65"/>
      <c r="G6" s="50"/>
      <c r="H6" s="50"/>
    </row>
    <row r="7" spans="2:3" ht="13.5" customHeight="1">
      <c r="B7" s="106" t="s">
        <v>29</v>
      </c>
      <c r="C7" s="248" t="s">
        <v>383</v>
      </c>
    </row>
    <row r="8" spans="2:3" ht="13.5" customHeight="1">
      <c r="B8" s="106" t="s">
        <v>183</v>
      </c>
      <c r="C8" s="270">
        <v>3234.759584200002</v>
      </c>
    </row>
    <row r="9" spans="2:3" ht="13.5" customHeight="1">
      <c r="B9" s="106" t="s">
        <v>30</v>
      </c>
      <c r="C9" s="249">
        <v>108734</v>
      </c>
    </row>
    <row r="10" spans="2:3" ht="13.5" customHeight="1">
      <c r="B10" s="106" t="s">
        <v>31</v>
      </c>
      <c r="C10" s="249" t="s">
        <v>384</v>
      </c>
    </row>
    <row r="12" ht="15.75">
      <c r="B12" s="64" t="s">
        <v>188</v>
      </c>
    </row>
    <row r="14" spans="2:4" ht="51" customHeight="1">
      <c r="B14" s="51" t="s">
        <v>32</v>
      </c>
      <c r="C14" s="52" t="s">
        <v>131</v>
      </c>
      <c r="D14" s="52" t="s">
        <v>46</v>
      </c>
    </row>
    <row r="15" spans="2:4" ht="14.25">
      <c r="B15" s="161" t="s">
        <v>33</v>
      </c>
      <c r="C15" s="163"/>
      <c r="D15" s="163"/>
    </row>
    <row r="16" spans="2:4" ht="12.75">
      <c r="B16" s="107" t="s">
        <v>34</v>
      </c>
      <c r="C16" s="162"/>
      <c r="D16" s="162"/>
    </row>
    <row r="17" spans="2:4" ht="17.25" customHeight="1">
      <c r="B17" s="107" t="s">
        <v>35</v>
      </c>
      <c r="C17" s="162"/>
      <c r="D17" s="162"/>
    </row>
    <row r="18" spans="2:4" ht="12.75">
      <c r="B18" s="107" t="s">
        <v>36</v>
      </c>
      <c r="C18" s="162"/>
      <c r="D18" s="162"/>
    </row>
    <row r="19" spans="2:4" ht="14.25">
      <c r="B19" s="161" t="s">
        <v>237</v>
      </c>
      <c r="C19" s="163"/>
      <c r="D19" s="163"/>
    </row>
    <row r="20" spans="2:4" ht="12.75">
      <c r="B20" s="107" t="s">
        <v>37</v>
      </c>
      <c r="C20" s="162"/>
      <c r="D20" s="162"/>
    </row>
    <row r="21" spans="2:4" ht="12.75">
      <c r="B21" s="107" t="s">
        <v>38</v>
      </c>
      <c r="C21" s="162"/>
      <c r="D21" s="162"/>
    </row>
    <row r="22" spans="2:4" ht="14.25">
      <c r="B22" s="161" t="s">
        <v>39</v>
      </c>
      <c r="C22" s="163"/>
      <c r="D22" s="163"/>
    </row>
    <row r="23" spans="2:4" ht="12.75">
      <c r="B23" s="107" t="s">
        <v>40</v>
      </c>
      <c r="C23" s="162"/>
      <c r="D23" s="162"/>
    </row>
    <row r="24" spans="2:4" ht="12.75">
      <c r="B24" s="107" t="s">
        <v>41</v>
      </c>
      <c r="C24" s="162"/>
      <c r="D24" s="162"/>
    </row>
    <row r="25" spans="2:4" ht="14.25">
      <c r="B25" s="161" t="s">
        <v>42</v>
      </c>
      <c r="C25" s="163"/>
      <c r="D25" s="163"/>
    </row>
    <row r="26" spans="2:4" ht="12.75">
      <c r="B26" s="107" t="s">
        <v>43</v>
      </c>
      <c r="C26" s="162"/>
      <c r="D26" s="162"/>
    </row>
    <row r="27" spans="2:4" ht="12.75">
      <c r="B27" s="107" t="s">
        <v>44</v>
      </c>
      <c r="C27" s="162"/>
      <c r="D27" s="162"/>
    </row>
    <row r="28" spans="2:4" ht="14.25">
      <c r="B28" s="161" t="s">
        <v>45</v>
      </c>
      <c r="C28" s="163"/>
      <c r="D28" s="163"/>
    </row>
    <row r="29" spans="2:4" ht="12.75">
      <c r="B29" s="164" t="s">
        <v>385</v>
      </c>
      <c r="C29" s="104" t="s">
        <v>386</v>
      </c>
      <c r="D29" s="104" t="s">
        <v>387</v>
      </c>
    </row>
    <row r="30" spans="2:4" ht="12.75">
      <c r="B30" s="164" t="s">
        <v>185</v>
      </c>
      <c r="C30" s="104"/>
      <c r="D30" s="104"/>
    </row>
    <row r="31" spans="2:4" ht="12.75">
      <c r="B31" s="164" t="s">
        <v>185</v>
      </c>
      <c r="C31" s="104"/>
      <c r="D31" s="104"/>
    </row>
    <row r="32" spans="2:4" ht="12.75">
      <c r="B32" s="164" t="s">
        <v>185</v>
      </c>
      <c r="C32" s="104"/>
      <c r="D32" s="104"/>
    </row>
    <row r="33" spans="2:4" ht="12.75">
      <c r="B33" s="164" t="s">
        <v>185</v>
      </c>
      <c r="C33" s="104"/>
      <c r="D33" s="104"/>
    </row>
    <row r="34" spans="2:4" ht="12.75">
      <c r="B34" s="164" t="s">
        <v>185</v>
      </c>
      <c r="C34" s="104"/>
      <c r="D34" s="104"/>
    </row>
    <row r="35" spans="2:4" ht="12.75">
      <c r="B35" s="164" t="s">
        <v>185</v>
      </c>
      <c r="C35" s="104"/>
      <c r="D35" s="104"/>
    </row>
    <row r="36" spans="2:4" ht="12.75">
      <c r="B36" s="164" t="s">
        <v>185</v>
      </c>
      <c r="C36" s="104"/>
      <c r="D36" s="104"/>
    </row>
  </sheetData>
  <sheetProtection/>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2:BB62"/>
  <sheetViews>
    <sheetView zoomScale="90" zoomScaleNormal="90" zoomScalePageLayoutView="0" workbookViewId="0" topLeftCell="A1">
      <pane xSplit="3" ySplit="6" topLeftCell="H7" activePane="bottomRight" state="frozen"/>
      <selection pane="topLeft" activeCell="A1" sqref="A1"/>
      <selection pane="topRight" activeCell="D1" sqref="D1"/>
      <selection pane="bottomLeft" activeCell="A7" sqref="A7"/>
      <selection pane="bottomRight" activeCell="B39" sqref="B39"/>
    </sheetView>
  </sheetViews>
  <sheetFormatPr defaultColWidth="9.140625" defaultRowHeight="12.75"/>
  <cols>
    <col min="2" max="2" width="63.7109375" style="0" customWidth="1"/>
    <col min="3" max="3" width="22.7109375" style="0" customWidth="1"/>
    <col min="4" max="4" width="15.421875" style="0" customWidth="1"/>
    <col min="5" max="16" width="17.421875" style="0" customWidth="1"/>
    <col min="17" max="20" width="11.00390625" style="0" customWidth="1"/>
    <col min="22" max="22" width="9.140625" style="215" customWidth="1"/>
  </cols>
  <sheetData>
    <row r="1" ht="12.75"/>
    <row r="2" ht="27.75">
      <c r="B2" s="216" t="s">
        <v>17</v>
      </c>
    </row>
    <row r="3" spans="1:54" ht="12.75">
      <c r="A3" s="195"/>
      <c r="B3" s="195"/>
      <c r="C3" s="195"/>
      <c r="D3" s="195"/>
      <c r="E3" s="195"/>
      <c r="F3" s="195"/>
      <c r="G3" s="195"/>
      <c r="H3" s="195"/>
      <c r="I3" s="195"/>
      <c r="J3" s="195"/>
      <c r="K3" s="195"/>
      <c r="L3" s="195"/>
      <c r="M3" s="195"/>
      <c r="N3" s="195"/>
      <c r="O3" s="195"/>
      <c r="P3" s="195"/>
      <c r="Q3" s="195"/>
      <c r="R3" s="195"/>
      <c r="S3" s="195"/>
      <c r="T3" s="195"/>
      <c r="U3" s="195"/>
      <c r="V3" s="196"/>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row>
    <row r="4" spans="1:54" ht="15.75">
      <c r="A4" s="195"/>
      <c r="B4" s="197" t="s">
        <v>265</v>
      </c>
      <c r="C4" s="195"/>
      <c r="D4" s="195"/>
      <c r="E4" s="195"/>
      <c r="F4" s="195"/>
      <c r="G4" s="195"/>
      <c r="H4" s="195"/>
      <c r="I4" s="195"/>
      <c r="J4" s="195"/>
      <c r="K4" s="195"/>
      <c r="L4" s="195"/>
      <c r="M4" s="195"/>
      <c r="N4" s="195"/>
      <c r="O4" s="195"/>
      <c r="P4" s="195"/>
      <c r="Q4" s="195"/>
      <c r="R4" s="195"/>
      <c r="S4" s="195"/>
      <c r="T4" s="195"/>
      <c r="U4" s="195"/>
      <c r="V4" s="196"/>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row>
    <row r="5" spans="1:54" ht="12.75">
      <c r="A5" s="195"/>
      <c r="B5" s="195"/>
      <c r="C5" s="195"/>
      <c r="D5" s="386" t="s">
        <v>83</v>
      </c>
      <c r="E5" s="387"/>
      <c r="F5" s="387"/>
      <c r="G5" s="387"/>
      <c r="H5" s="387"/>
      <c r="I5" s="387"/>
      <c r="J5" s="387"/>
      <c r="K5" s="387"/>
      <c r="L5" s="387"/>
      <c r="M5" s="387"/>
      <c r="N5" s="387"/>
      <c r="O5" s="387"/>
      <c r="P5" s="387"/>
      <c r="Q5" s="198"/>
      <c r="R5" s="198"/>
      <c r="S5" s="198"/>
      <c r="T5" s="198"/>
      <c r="U5" s="198"/>
      <c r="V5" s="199"/>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5"/>
      <c r="AZ5" s="195"/>
      <c r="BA5" s="195"/>
      <c r="BB5" s="195"/>
    </row>
    <row r="6" spans="1:48" s="234" customFormat="1" ht="34.5" customHeight="1">
      <c r="A6" s="220"/>
      <c r="B6" s="195"/>
      <c r="C6" s="195"/>
      <c r="D6" s="240" t="str">
        <f>YEAR(Cover!$C$25)-1&amp;"-"&amp;RIGHT(YEAR(Cover!$C$25),2)</f>
        <v>2010-11</v>
      </c>
      <c r="E6" s="241" t="str">
        <f>YEAR(Cover!$C$25)&amp;"-"&amp;RIGHT(YEAR(Cover!$C$25)+1,2)</f>
        <v>2011-12</v>
      </c>
      <c r="F6" s="241" t="str">
        <f>YEAR(Cover!$C$25)+1&amp;"-"&amp;RIGHT(YEAR(Cover!$C$25)+2,2)</f>
        <v>2012-13</v>
      </c>
      <c r="G6" s="241" t="str">
        <f>YEAR(Cover!$C$25)+2&amp;"-"&amp;RIGHT(YEAR(Cover!$C$25)+3,2)</f>
        <v>2013-14</v>
      </c>
      <c r="H6" s="250">
        <v>2014</v>
      </c>
      <c r="I6" s="250">
        <v>2015</v>
      </c>
      <c r="J6" s="250">
        <v>2016</v>
      </c>
      <c r="K6" s="250">
        <v>2017</v>
      </c>
      <c r="L6" s="250">
        <v>2018</v>
      </c>
      <c r="M6" s="250">
        <v>2019</v>
      </c>
      <c r="N6" s="250">
        <v>2020</v>
      </c>
      <c r="O6" s="250">
        <v>2021</v>
      </c>
      <c r="P6" s="250">
        <v>2022</v>
      </c>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3"/>
      <c r="AU6" s="233"/>
      <c r="AV6" s="233"/>
    </row>
    <row r="7" spans="1:48" ht="12.75">
      <c r="A7" s="220"/>
      <c r="B7" s="133" t="s">
        <v>258</v>
      </c>
      <c r="C7" s="51" t="s">
        <v>254</v>
      </c>
      <c r="D7" s="224"/>
      <c r="E7" s="224"/>
      <c r="F7" s="224"/>
      <c r="G7" s="224"/>
      <c r="H7" s="224"/>
      <c r="I7" s="224"/>
      <c r="J7" s="224"/>
      <c r="K7" s="224"/>
      <c r="L7" s="224"/>
      <c r="M7" s="224"/>
      <c r="N7" s="224"/>
      <c r="O7" s="224"/>
      <c r="P7" s="224"/>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3"/>
      <c r="AT7" s="201"/>
      <c r="AU7" s="201"/>
      <c r="AV7" s="201"/>
    </row>
    <row r="8" spans="1:48" ht="12.75">
      <c r="A8" s="202"/>
      <c r="B8" s="56" t="s">
        <v>263</v>
      </c>
      <c r="C8" s="231" t="s">
        <v>282</v>
      </c>
      <c r="D8" s="235">
        <f>'3. Statement of pipeline assets'!D90</f>
        <v>0</v>
      </c>
      <c r="E8" s="235">
        <f>'3. Statement of pipeline assets'!E90</f>
        <v>0.015846066779853007</v>
      </c>
      <c r="F8" s="235">
        <f>'3. Statement of pipeline assets'!F90</f>
        <v>0.025025025025025016</v>
      </c>
      <c r="G8" s="235">
        <f>'3. Statement of pipeline assets'!G90</f>
        <v>0.029296875</v>
      </c>
      <c r="H8" s="235">
        <f>'3. Statement of pipeline assets'!H90/2</f>
        <v>0.006641366223908873</v>
      </c>
      <c r="I8" s="235">
        <f>AVERAGE('3. Statement of pipeline assets'!H90:I90)</f>
        <v>0.013195673340013814</v>
      </c>
      <c r="J8" s="235">
        <f>AVERAGE('3. Statement of pipeline assets'!I90:J90)</f>
        <v>0.013934380916842959</v>
      </c>
      <c r="K8" s="235">
        <f>AVERAGE('3. Statement of pipeline assets'!J90:K90)</f>
        <v>0.016925528346192542</v>
      </c>
      <c r="L8" s="235">
        <f>AVERAGE('3. Statement of pipeline assets'!K90:L90)</f>
        <v>0.01846606114670346</v>
      </c>
      <c r="M8" s="235">
        <f>AVERAGE('3. Statement of pipeline assets'!L90:M90)</f>
        <v>0.018123060588979056</v>
      </c>
      <c r="N8" s="235">
        <f>AVERAGE('3. Statement of pipeline assets'!M90:N90)</f>
        <v>0.01350245398773012</v>
      </c>
      <c r="O8" s="235">
        <f>AVERAGE('3. Statement of pipeline assets'!N90:O90)</f>
        <v>0.021791467576791762</v>
      </c>
      <c r="P8" s="235">
        <f>AVERAGE('3. Statement of pipeline assets'!O90:P90)</f>
        <v>0.056650577222298826</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3"/>
      <c r="AT8" s="201"/>
      <c r="AU8" s="201"/>
      <c r="AV8" s="201"/>
    </row>
    <row r="9" spans="1:48" ht="12.75">
      <c r="A9" s="202"/>
      <c r="B9" s="56" t="s">
        <v>260</v>
      </c>
      <c r="C9" s="231" t="s">
        <v>284</v>
      </c>
      <c r="D9" s="225"/>
      <c r="E9" s="225">
        <v>0.09241837391011387</v>
      </c>
      <c r="F9" s="225">
        <v>0.10228922242574123</v>
      </c>
      <c r="G9" s="225">
        <v>0.10688307532910768</v>
      </c>
      <c r="H9" s="225">
        <v>0.08966182091024222</v>
      </c>
      <c r="I9" s="225">
        <v>0.08956819947281058</v>
      </c>
      <c r="J9" s="225">
        <v>0.07071955663114005</v>
      </c>
      <c r="K9" s="225">
        <v>0.05408908994368766</v>
      </c>
      <c r="L9" s="225">
        <v>0.055281516621656035</v>
      </c>
      <c r="M9" s="225">
        <v>0.05429085939880629</v>
      </c>
      <c r="N9" s="225">
        <v>0.050333811601866674</v>
      </c>
      <c r="O9" s="225">
        <v>0.05572651352251923</v>
      </c>
      <c r="P9" s="225">
        <v>0.08678557523811703</v>
      </c>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3"/>
      <c r="AT9" s="201"/>
      <c r="AU9" s="201"/>
      <c r="AV9" s="201"/>
    </row>
    <row r="10" spans="1:48" ht="12.75">
      <c r="A10" s="202"/>
      <c r="B10" s="56" t="s">
        <v>288</v>
      </c>
      <c r="C10" s="231" t="s">
        <v>283</v>
      </c>
      <c r="D10" s="117">
        <f>('3. Statement of pipeline assets'!D12+'3. Statement of pipeline assets'!D19+'3. Statement of pipeline assets'!D25+'3. Statement of pipeline assets'!D31+'3. Statement of pipeline assets'!D37+'3. Statement of pipeline assets'!D43+'3. Statement of pipeline assets'!D49+'3. Statement of pipeline assets'!D55+'3. Statement of pipeline assets'!D61+'3. Statement of pipeline assets'!D74+'3. Statement of pipeline assets'!D85)/1000000</f>
        <v>318.8741253898632</v>
      </c>
      <c r="E10" s="261">
        <f>('3. Statement of pipeline assets'!E12+'3. Statement of pipeline assets'!E19+'3. Statement of pipeline assets'!E25+'3. Statement of pipeline assets'!E31+'3. Statement of pipeline assets'!E37+'3. Statement of pipeline assets'!E43+'3. Statement of pipeline assets'!E49+'3. Statement of pipeline assets'!E55+'3. Statement of pipeline assets'!E61+'3. Statement of pipeline assets'!E74+'3. Statement of pipeline assets'!E85)/1000000</f>
        <v>318.8741253898632</v>
      </c>
      <c r="F10" s="261">
        <f>('3. Statement of pipeline assets'!F12+'3. Statement of pipeline assets'!F19+'3. Statement of pipeline assets'!F25+'3. Statement of pipeline assets'!F31+'3. Statement of pipeline assets'!F37+'3. Statement of pipeline assets'!F43+'3. Statement of pipeline assets'!F49+'3. Statement of pipeline assets'!F55+'3. Statement of pipeline assets'!F61+'3. Statement of pipeline assets'!F74+'3. Statement of pipeline assets'!F85)/1000000</f>
        <v>330.9768383694805</v>
      </c>
      <c r="G10" s="261">
        <f>('3. Statement of pipeline assets'!G12+'3. Statement of pipeline assets'!G19+'3. Statement of pipeline assets'!G25+'3. Statement of pipeline assets'!G31+'3. Statement of pipeline assets'!G37+'3. Statement of pipeline assets'!G43+'3. Statement of pipeline assets'!G49+'3. Statement of pipeline assets'!G55+'3. Statement of pipeline assets'!G61+'3. Statement of pipeline assets'!G74+'3. Statement of pipeline assets'!G85)/1000000</f>
        <v>351.99540106546044</v>
      </c>
      <c r="H10" s="261">
        <f>G10+G11-G12-G13-G20</f>
        <v>378.60272205858394</v>
      </c>
      <c r="I10" s="261">
        <f aca="true" t="shared" si="0" ref="I10:P10">H10+H11-H12-H13-H20</f>
        <v>389.87594238620085</v>
      </c>
      <c r="J10" s="261">
        <f t="shared" si="0"/>
        <v>411.40156236575643</v>
      </c>
      <c r="K10" s="261">
        <f t="shared" si="0"/>
        <v>428.1953627656291</v>
      </c>
      <c r="L10" s="261">
        <f t="shared" si="0"/>
        <v>442.44269746593204</v>
      </c>
      <c r="M10" s="261">
        <f t="shared" si="0"/>
        <v>457.77399104471834</v>
      </c>
      <c r="N10" s="261">
        <f t="shared" si="0"/>
        <v>471.53712174216764</v>
      </c>
      <c r="O10" s="261">
        <f t="shared" si="0"/>
        <v>480.0380513113684</v>
      </c>
      <c r="P10" s="261">
        <f t="shared" si="0"/>
        <v>493.8208504748494</v>
      </c>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3"/>
      <c r="AT10" s="201"/>
      <c r="AU10" s="201"/>
      <c r="AV10" s="201"/>
    </row>
    <row r="11" spans="1:48" ht="12.75">
      <c r="A11" s="202"/>
      <c r="B11" s="56" t="s">
        <v>255</v>
      </c>
      <c r="C11" s="231" t="s">
        <v>285</v>
      </c>
      <c r="D11" s="261">
        <f>('3. Statement of pipeline assets'!D13+'3. Statement of pipeline assets'!D20+'3. Statement of pipeline assets'!D26+'3. Statement of pipeline assets'!D32+'3. Statement of pipeline assets'!D38+'3. Statement of pipeline assets'!D44+'3. Statement of pipeline assets'!D50+'3. Statement of pipeline assets'!D56+'3. Statement of pipeline assets'!D75+'3. Statement of pipeline assets'!D86)/1000000</f>
        <v>0</v>
      </c>
      <c r="E11" s="261">
        <f>('3.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assets'!E75+'3. Statement of pipeline assets'!E86)/1000000</f>
        <v>18.024004098090217</v>
      </c>
      <c r="F11" s="261">
        <f>('3. Statement of pipeline assets'!F13+'3. Statement of pipeline assets'!F20+'3. Statement of pipeline assets'!F26+'3. Statement of pipeline assets'!F32+'3. Statement of pipeline assets'!F38+'3. Statement of pipeline assets'!F44+'3. Statement of pipeline assets'!F50+'3. Statement of pipeline assets'!F56+'3. Statement of pipeline assets'!F75+'3. Statement of pipeline assets'!F86)/1000000</f>
        <v>24.30356752308782</v>
      </c>
      <c r="G11" s="261">
        <f>('3. Statement of pipeline assets'!G13+'3. Statement of pipeline assets'!G20+'3. Statement of pipeline assets'!G26+'3. Statement of pipeline assets'!G32+'3. Statement of pipeline assets'!G38+'3. Statement of pipeline assets'!G44+'3. Statement of pipeline assets'!G50+'3. Statement of pipeline assets'!G56+'3. Statement of pipeline assets'!G75+'3. Statement of pipeline assets'!G86)/1000000</f>
        <v>28.630092048663222</v>
      </c>
      <c r="H11" s="261">
        <f>('3. Statement of pipeline assets'!H13+'3. Statement of pipeline assets'!H20+'3. Statement of pipeline assets'!H26+'3. Statement of pipeline assets'!H32+'3. Statement of pipeline assets'!H38+'3. Statement of pipeline assets'!H44+'3. Statement of pipeline assets'!H50+'3. Statement of pipeline assets'!H56+'3. Statement of pipeline assets'!H75+'3. Statement of pipeline assets'!H86)/1000000/2</f>
        <v>15.087872023868064</v>
      </c>
      <c r="I11" s="261">
        <f>AVERAGE(('3. Statement of pipeline assets'!I13+'3. Statement of pipeline assets'!I20+'3. Statement of pipeline assets'!I26+'3. Statement of pipeline assets'!I32+'3. Statement of pipeline assets'!I38+'3. Statement of pipeline assets'!I44+'3. Statement of pipeline assets'!I50+'3. Statement of pipeline assets'!I56+'3. Statement of pipeline assets'!I75+'3. Statement of pipeline assets'!I86),('3. Statement of pipeline assets'!H13+'3. Statement of pipeline assets'!H20+'3. Statement of pipeline assets'!H26+'3. Statement of pipeline assets'!H32+'3. Statement of pipeline assets'!H38+'3. Statement of pipeline assets'!H44+'3. Statement of pipeline assets'!H50+'3. Statement of pipeline assets'!H56+'3. Statement of pipeline assets'!H75+'3. Statement of pipeline assets'!H86))/1000000</f>
        <v>29.502468931109686</v>
      </c>
      <c r="J11" s="261">
        <f>AVERAGE(('3. Statement of pipeline assets'!J13+'3. Statement of pipeline assets'!J20+'3. Statement of pipeline assets'!J26+'3. Statement of pipeline assets'!J32+'3. Statement of pipeline assets'!J38+'3. Statement of pipeline assets'!J44+'3. Statement of pipeline assets'!J50+'3. Statement of pipeline assets'!J56+'3. Statement of pipeline assets'!J75+'3. Statement of pipeline assets'!J86),('3. Statement of pipeline assets'!I13+'3. Statement of pipeline assets'!I20+'3. Statement of pipeline assets'!I26+'3. Statement of pipeline assets'!I32+'3. Statement of pipeline assets'!I38+'3. Statement of pipeline assets'!I44+'3. Statement of pipeline assets'!I50+'3. Statement of pipeline assets'!I56+'3. Statement of pipeline assets'!I75+'3. Statement of pipeline assets'!I86))/1000000</f>
        <v>24.64643236279668</v>
      </c>
      <c r="K11" s="261">
        <f>AVERAGE(('3. Statement of pipeline assets'!K13+'3. Statement of pipeline assets'!K20+'3. Statement of pipeline assets'!K26+'3. Statement of pipeline assets'!K32+'3. Statement of pipeline assets'!K38+'3. Statement of pipeline assets'!K44+'3. Statement of pipeline assets'!K50+'3. Statement of pipeline assets'!K56+'3. Statement of pipeline assets'!K75+'3. Statement of pipeline assets'!K86),('3. Statement of pipeline assets'!J13+'3. Statement of pipeline assets'!J20+'3. Statement of pipeline assets'!J26+'3. Statement of pipeline assets'!J32+'3. Statement of pipeline assets'!J38+'3. Statement of pipeline assets'!J44+'3. Statement of pipeline assets'!J50+'3. Statement of pipeline assets'!J56+'3. Statement of pipeline assets'!J75+'3. Statement of pipeline assets'!J86))/1000000</f>
        <v>21.019048548510174</v>
      </c>
      <c r="L11" s="261">
        <f>AVERAGE(('3. Statement of pipeline assets'!L13+'3. Statement of pipeline assets'!L20+'3. Statement of pipeline assets'!L26+'3. Statement of pipeline assets'!L32+'3. Statement of pipeline assets'!L38+'3. Statement of pipeline assets'!L44+'3. Statement of pipeline assets'!L50+'3. Statement of pipeline assets'!L56+'3. Statement of pipeline assets'!L75+'3. Statement of pipeline assets'!L86),('3. Statement of pipeline assets'!K13+'3. Statement of pipeline assets'!K20+'3. Statement of pipeline assets'!K26+'3. Statement of pipeline assets'!K32+'3. Statement of pipeline assets'!K38+'3. Statement of pipeline assets'!K44+'3. Statement of pipeline assets'!K50+'3. Statement of pipeline assets'!K56+'3. Statement of pipeline assets'!K75+'3. Statement of pipeline assets'!K86))/1000000</f>
        <v>22.154690707881937</v>
      </c>
      <c r="M11" s="261">
        <f>AVERAGE(('3. Statement of pipeline assets'!M13+'3. Statement of pipeline assets'!M20+'3. Statement of pipeline assets'!M26+'3. Statement of pipeline assets'!M32+'3. Statement of pipeline assets'!M38+'3. Statement of pipeline assets'!M44+'3. Statement of pipeline assets'!M50+'3. Statement of pipeline assets'!M56+'3. Statement of pipeline assets'!M75+'3. Statement of pipeline assets'!M86),('3. Statement of pipeline assets'!L13+'3. Statement of pipeline assets'!L20+'3. Statement of pipeline assets'!L26+'3. Statement of pipeline assets'!L32+'3. Statement of pipeline assets'!L38+'3. Statement of pipeline assets'!L44+'3. Statement of pipeline assets'!L50+'3. Statement of pipeline assets'!L56+'3. Statement of pipeline assets'!L75+'3. Statement of pipeline assets'!L86))/1000000</f>
        <v>21.60506226674106</v>
      </c>
      <c r="N11" s="261">
        <f>AVERAGE(('3. Statement of pipeline assets'!N13+'3. Statement of pipeline assets'!N20+'3. Statement of pipeline assets'!N26+'3. Statement of pipeline assets'!N32+'3. Statement of pipeline assets'!N38+'3. Statement of pipeline assets'!N44+'3. Statement of pipeline assets'!N50+'3. Statement of pipeline assets'!N56+'3. Statement of pipeline assets'!N75+'3. Statement of pipeline assets'!N86),('3. Statement of pipeline assets'!M13+'3. Statement of pipeline assets'!M20+'3. Statement of pipeline assets'!M26+'3. Statement of pipeline assets'!M32+'3. Statement of pipeline assets'!M38+'3. Statement of pipeline assets'!M44+'3. Statement of pipeline assets'!M50+'3. Statement of pipeline assets'!M56+'3. Statement of pipeline assets'!M75+'3. Statement of pipeline assets'!M86))/1000000</f>
        <v>19.56515679654836</v>
      </c>
      <c r="O11" s="261">
        <f>AVERAGE(('3. Statement of pipeline assets'!O13+'3. Statement of pipeline assets'!O20+'3. Statement of pipeline assets'!O26+'3. Statement of pipeline assets'!O32+'3. Statement of pipeline assets'!O38+'3. Statement of pipeline assets'!O44+'3. Statement of pipeline assets'!O50+'3. Statement of pipeline assets'!O56+'3. Statement of pipeline assets'!O75+'3. Statement of pipeline assets'!O86),('3. Statement of pipeline assets'!N13+'3. Statement of pipeline assets'!N20+'3. Statement of pipeline assets'!N26+'3. Statement of pipeline assets'!N32+'3. Statement of pipeline assets'!N38+'3. Statement of pipeline assets'!N44+'3. Statement of pipeline assets'!N50+'3. Statement of pipeline assets'!N56+'3. Statement of pipeline assets'!N75+'3. Statement of pipeline assets'!N86))/1000000</f>
        <v>21.821617068620064</v>
      </c>
      <c r="P11" s="261">
        <f>(('3. Statement of pipeline assets'!P13+'3. Statement of pipeline assets'!P20+'3. Statement of pipeline assets'!P26+'3. Statement of pipeline assets'!P32+'3. Statement of pipeline assets'!P38+'3. Statement of pipeline assets'!P44+'3. Statement of pipeline assets'!P50+'3. Statement of pipeline assets'!P56+'3. Statement of pipeline assets'!P75+'3. Statement of pipeline assets'!P86)+('3. Statement of pipeline assets'!O13+'3. Statement of pipeline assets'!O20+'3. Statement of pipeline assets'!O26+'3. Statement of pipeline assets'!O32+'3. Statement of pipeline assets'!O38+'3. Statement of pipeline assets'!O44+'3. Statement of pipeline assets'!O50+'3. Statement of pipeline assets'!O56+'3. Statement of pipeline assets'!O75+'3. Statement of pipeline assets'!O86)/2)/1000000</f>
        <v>22.059781603717983</v>
      </c>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3"/>
      <c r="AT11" s="201"/>
      <c r="AU11" s="201"/>
      <c r="AV11" s="201"/>
    </row>
    <row r="12" spans="1:48" ht="12.75">
      <c r="A12" s="202"/>
      <c r="B12" s="56" t="s">
        <v>277</v>
      </c>
      <c r="C12" s="231" t="s">
        <v>285</v>
      </c>
      <c r="D12" s="237"/>
      <c r="E12" s="237"/>
      <c r="F12" s="237"/>
      <c r="G12" s="237"/>
      <c r="H12" s="237"/>
      <c r="I12" s="237"/>
      <c r="J12" s="237"/>
      <c r="K12" s="237"/>
      <c r="L12" s="237"/>
      <c r="M12" s="237"/>
      <c r="N12" s="237"/>
      <c r="O12" s="237"/>
      <c r="P12" s="237"/>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3"/>
      <c r="AT12" s="201"/>
      <c r="AU12" s="201"/>
      <c r="AV12" s="201"/>
    </row>
    <row r="13" spans="1:48" ht="12.75">
      <c r="A13" s="202"/>
      <c r="B13" s="56" t="s">
        <v>79</v>
      </c>
      <c r="C13" s="231" t="s">
        <v>285</v>
      </c>
      <c r="D13" s="226">
        <f>'3. Statement of pipeline assets'!D15+'3. Statement of pipeline assets'!D22+'3. Statement of pipeline assets'!D28+'3. Statement of pipeline assets'!D34+'3. Statement of pipeline assets'!D40+'3. Statement of pipeline assets'!D46+'3. Statement of pipeline assets'!D52+'3. Statement of pipeline assets'!D58+'3. Statement of pipeline assets'!D64+'3. Statement of pipeline assets'!D77</f>
        <v>0</v>
      </c>
      <c r="E13" s="226">
        <f>-('3. Statement of pipeline assets'!E15+'3. Statement of pipeline assets'!E22+'3. Statement of pipeline assets'!E28+'3. Statement of pipeline assets'!E34+'3. Statement of pipeline assets'!E40+'3. Statement of pipeline assets'!E46+'3. Statement of pipeline assets'!E52+'3. Statement of pipeline assets'!E58+'3. Statement of pipeline assets'!E64+'3. Statement of pipeline assets'!E77)/1000000</f>
        <v>0</v>
      </c>
      <c r="F13" s="226">
        <f>-('3. Statement of pipeline assets'!F15+'3. Statement of pipeline assets'!F22+'3. Statement of pipeline assets'!F28+'3. Statement of pipeline assets'!F34+'3. Statement of pipeline assets'!F40+'3. Statement of pipeline assets'!F46+'3. Statement of pipeline assets'!F52+'3. Statement of pipeline assets'!F58+'3. Statement of pipeline assets'!F64+'3. Statement of pipeline assets'!F77)/1000000</f>
        <v>0</v>
      </c>
      <c r="G13" s="226">
        <f>-('3. Statement of pipeline assets'!G15+'3. Statement of pipeline assets'!G22+'3. Statement of pipeline assets'!G28+'3. Statement of pipeline assets'!G34+'3. Statement of pipeline assets'!G40+'3. Statement of pipeline assets'!G46+'3. Statement of pipeline assets'!G52+'3. Statement of pipeline assets'!G58+'3. Statement of pipeline assets'!G64+'3. Statement of pipeline assets'!G77)/1000000</f>
        <v>0</v>
      </c>
      <c r="H13" s="226">
        <f>-('3. Statement of pipeline assets'!G15+'3. Statement of pipeline assets'!G22+'3. Statement of pipeline assets'!G28+'3. Statement of pipeline assets'!G34+'3. Statement of pipeline assets'!G40+'3. Statement of pipeline assets'!G46+'3. Statement of pipeline assets'!G52+'3. Statement of pipeline assets'!G58+'3. Statement of pipeline assets'!G64+'3. Statement of pipeline assets'!G77)/1000000/2</f>
        <v>0</v>
      </c>
      <c r="I13" s="226">
        <f>-AVERAGE(('3. Statement of pipeline assets'!H15+'3. Statement of pipeline assets'!H22+'3. Statement of pipeline assets'!H28+'3. Statement of pipeline assets'!H34+'3. Statement of pipeline assets'!H40+'3. Statement of pipeline assets'!H46+'3. Statement of pipeline assets'!H52+'3. Statement of pipeline assets'!H58+'3. Statement of pipeline assets'!H64+'3. Statement of pipeline assets'!H77),('3. Statement of pipeline assets'!I15+'3. Statement of pipeline assets'!I22+'3. Statement of pipeline assets'!I28+'3. Statement of pipeline assets'!I34+'3. Statement of pipeline assets'!I40+'3. Statement of pipeline assets'!I46+'3. Statement of pipeline assets'!I52+'3. Statement of pipeline assets'!I58+'3. Statement of pipeline assets'!I64+'3. Statement of pipeline assets'!I77))/1000000</f>
        <v>0</v>
      </c>
      <c r="J13" s="226">
        <f>-AVERAGE(('3. Statement of pipeline assets'!I15+'3. Statement of pipeline assets'!I22+'3. Statement of pipeline assets'!I28+'3. Statement of pipeline assets'!I34+'3. Statement of pipeline assets'!I40+'3. Statement of pipeline assets'!I46+'3. Statement of pipeline assets'!I52+'3. Statement of pipeline assets'!I58+'3. Statement of pipeline assets'!I64+'3. Statement of pipeline assets'!I77),('3. Statement of pipeline assets'!J15+'3. Statement of pipeline assets'!J22+'3. Statement of pipeline assets'!J28+'3. Statement of pipeline assets'!J34+'3. Statement of pipeline assets'!J40+'3. Statement of pipeline assets'!J46+'3. Statement of pipeline assets'!J52+'3. Statement of pipeline assets'!J58+'3. Statement of pipeline assets'!J64+'3. Statement of pipeline assets'!J77))/1000000</f>
        <v>0.014829919961060306</v>
      </c>
      <c r="K13" s="226">
        <f>-AVERAGE(('3. Statement of pipeline assets'!J15+'3. Statement of pipeline assets'!J22+'3. Statement of pipeline assets'!J28+'3. Statement of pipeline assets'!J34+'3. Statement of pipeline assets'!J40+'3. Statement of pipeline assets'!J46+'3. Statement of pipeline assets'!J52+'3. Statement of pipeline assets'!J58+'3. Statement of pipeline assets'!J64+'3. Statement of pipeline assets'!J77),('3. Statement of pipeline assets'!K15+'3. Statement of pipeline assets'!K22+'3. Statement of pipeline assets'!K28+'3. Statement of pipeline assets'!K34+'3. Statement of pipeline assets'!K40+'3. Statement of pipeline assets'!K46+'3. Statement of pipeline assets'!K52+'3. Statement of pipeline assets'!K58+'3. Statement of pipeline assets'!K64+'3. Statement of pipeline assets'!K77))/1000000</f>
        <v>0.014829919961060306</v>
      </c>
      <c r="L13" s="226">
        <f>-AVERAGE(('3. Statement of pipeline assets'!K15+'3. Statement of pipeline assets'!K22+'3. Statement of pipeline assets'!K28+'3. Statement of pipeline assets'!K34+'3. Statement of pipeline assets'!K40+'3. Statement of pipeline assets'!K46+'3. Statement of pipeline assets'!K52+'3. Statement of pipeline assets'!K58+'3. Statement of pipeline assets'!K64+'3. Statement of pipeline assets'!K77),('3. Statement of pipeline assets'!L15+'3. Statement of pipeline assets'!L22+'3. Statement of pipeline assets'!L28+'3. Statement of pipeline assets'!L34+'3. Statement of pipeline assets'!L40+'3. Statement of pipeline assets'!L46+'3. Statement of pipeline assets'!L52+'3. Statement of pipeline assets'!L58+'3. Statement of pipeline assets'!L64+'3. Statement of pipeline assets'!L77))/1000000</f>
        <v>0</v>
      </c>
      <c r="M13" s="226">
        <f>-AVERAGE(('3. Statement of pipeline assets'!L15+'3. Statement of pipeline assets'!L22+'3. Statement of pipeline assets'!L28+'3. Statement of pipeline assets'!L34+'3. Statement of pipeline assets'!L40+'3. Statement of pipeline assets'!L46+'3. Statement of pipeline assets'!L52+'3. Statement of pipeline assets'!L58+'3. Statement of pipeline assets'!L64+'3. Statement of pipeline assets'!L77),('3. Statement of pipeline assets'!M15+'3. Statement of pipeline assets'!M22+'3. Statement of pipeline assets'!M28+'3. Statement of pipeline assets'!M34+'3. Statement of pipeline assets'!M40+'3. Statement of pipeline assets'!M46+'3. Statement of pipeline assets'!M52+'3. Statement of pipeline assets'!M58+'3. Statement of pipeline assets'!M64+'3. Statement of pipeline assets'!M77))/1000000</f>
        <v>0</v>
      </c>
      <c r="N13" s="226">
        <f>-AVERAGE(('3. Statement of pipeline assets'!M15+'3. Statement of pipeline assets'!M22+'3. Statement of pipeline assets'!M28+'3. Statement of pipeline assets'!M34+'3. Statement of pipeline assets'!M40+'3. Statement of pipeline assets'!M46+'3. Statement of pipeline assets'!M52+'3. Statement of pipeline assets'!M58+'3. Statement of pipeline assets'!M64+'3. Statement of pipeline assets'!M77),('3. Statement of pipeline assets'!N15+'3. Statement of pipeline assets'!N22+'3. Statement of pipeline assets'!N28+'3. Statement of pipeline assets'!N34+'3. Statement of pipeline assets'!N40+'3. Statement of pipeline assets'!N46+'3. Statement of pipeline assets'!N52+'3. Statement of pipeline assets'!N58+'3. Statement of pipeline assets'!N64+'3. Statement of pipeline assets'!N77))/1000000</f>
        <v>0</v>
      </c>
      <c r="O13" s="226">
        <f>-AVERAGE(('3. Statement of pipeline assets'!N15+'3. Statement of pipeline assets'!N22+'3. Statement of pipeline assets'!N28+'3. Statement of pipeline assets'!N34+'3. Statement of pipeline assets'!N40+'3. Statement of pipeline assets'!N46+'3. Statement of pipeline assets'!N52+'3. Statement of pipeline assets'!N58+'3. Statement of pipeline assets'!N64+'3. Statement of pipeline assets'!N77),('3. Statement of pipeline assets'!O15+'3. Statement of pipeline assets'!O22+'3. Statement of pipeline assets'!O28+'3. Statement of pipeline assets'!O34+'3. Statement of pipeline assets'!O40+'3. Statement of pipeline assets'!O46+'3. Statement of pipeline assets'!O52+'3. Statement of pipeline assets'!O58+'3. Statement of pipeline assets'!O64+'3. Statement of pipeline assets'!O77))/1000000</f>
        <v>0</v>
      </c>
      <c r="P13" s="226">
        <f>-AVERAGE(('3. Statement of pipeline assets'!O15+'3. Statement of pipeline assets'!O22+'3. Statement of pipeline assets'!O28+'3. Statement of pipeline assets'!O34+'3. Statement of pipeline assets'!O40+'3. Statement of pipeline assets'!O46+'3. Statement of pipeline assets'!O52+'3. Statement of pipeline assets'!O58+'3. Statement of pipeline assets'!O64+'3. Statement of pipeline assets'!O77),('3. Statement of pipeline assets'!P15+'3. Statement of pipeline assets'!P22+'3. Statement of pipeline assets'!P28+'3. Statement of pipeline assets'!P34+'3. Statement of pipeline assets'!P40+'3. Statement of pipeline assets'!P46+'3. Statement of pipeline assets'!P52+'3. Statement of pipeline assets'!P58+'3. Statement of pipeline assets'!P64+'3. Statement of pipeline assets'!P77))/1000000</f>
        <v>0</v>
      </c>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3"/>
      <c r="AT13" s="201"/>
      <c r="AU13" s="201"/>
      <c r="AV13" s="201"/>
    </row>
    <row r="14" spans="1:48" ht="12.75">
      <c r="A14" s="202"/>
      <c r="B14" s="56" t="s">
        <v>261</v>
      </c>
      <c r="C14" s="231" t="s">
        <v>285</v>
      </c>
      <c r="D14" s="237"/>
      <c r="E14" s="237">
        <v>20.18083946057114</v>
      </c>
      <c r="F14" s="237">
        <v>20.191484206201586</v>
      </c>
      <c r="G14" s="237">
        <v>21.036656925886053</v>
      </c>
      <c r="H14" s="237">
        <v>8.31949654914426</v>
      </c>
      <c r="I14" s="237">
        <v>17.80940354914426</v>
      </c>
      <c r="J14" s="237">
        <v>18.99246216577636</v>
      </c>
      <c r="K14" s="237">
        <v>18.943925380058317</v>
      </c>
      <c r="L14" s="237">
        <v>18.588800949761314</v>
      </c>
      <c r="M14" s="237">
        <v>18.111068477176143</v>
      </c>
      <c r="N14" s="237">
        <v>17.93</v>
      </c>
      <c r="O14" s="237">
        <f>-('2. Revenues and expenses'!I39-'2. Revenues and expenses'!I21-'2. Revenues and expenses'!G32)/1000000</f>
        <v>15.253224657810541</v>
      </c>
      <c r="P14" s="237">
        <f>-('2. Revenues and expenses'!F39-'2. Revenues and expenses'!F21-'2. Revenues and expenses'!D32)/1000000</f>
        <v>17.163431227603848</v>
      </c>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3"/>
      <c r="AT14" s="201"/>
      <c r="AU14" s="201"/>
      <c r="AV14" s="201"/>
    </row>
    <row r="15" spans="1:48" ht="12.75">
      <c r="A15" s="202"/>
      <c r="B15" s="56" t="s">
        <v>286</v>
      </c>
      <c r="C15" s="231" t="s">
        <v>285</v>
      </c>
      <c r="D15" s="227"/>
      <c r="E15" s="227">
        <v>3.4916036710787086</v>
      </c>
      <c r="F15" s="227">
        <v>2.6363610075034902</v>
      </c>
      <c r="G15" s="227">
        <v>2.12991340740019</v>
      </c>
      <c r="H15" s="227">
        <v>1.7707383699904016</v>
      </c>
      <c r="I15" s="227">
        <v>3.4758008451236364</v>
      </c>
      <c r="J15" s="227">
        <v>1.9113086023135661</v>
      </c>
      <c r="K15" s="227">
        <v>0.2062461271803313</v>
      </c>
      <c r="L15" s="227">
        <v>0</v>
      </c>
      <c r="M15" s="227">
        <v>0</v>
      </c>
      <c r="N15" s="227">
        <v>0.795</v>
      </c>
      <c r="O15" s="227">
        <v>0.795</v>
      </c>
      <c r="P15" s="227">
        <v>0</v>
      </c>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3"/>
      <c r="AT15" s="201"/>
      <c r="AU15" s="201"/>
      <c r="AV15" s="201"/>
    </row>
    <row r="16" spans="1:48" ht="12.75">
      <c r="A16" s="202"/>
      <c r="B16" s="56"/>
      <c r="C16" s="223"/>
      <c r="D16" s="224"/>
      <c r="E16" s="224"/>
      <c r="F16" s="224"/>
      <c r="G16" s="224"/>
      <c r="H16" s="224"/>
      <c r="I16" s="224"/>
      <c r="J16" s="224"/>
      <c r="K16" s="224"/>
      <c r="L16" s="224"/>
      <c r="M16" s="224"/>
      <c r="N16" s="224"/>
      <c r="O16" s="224"/>
      <c r="P16" s="224"/>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3"/>
      <c r="AT16" s="201"/>
      <c r="AU16" s="201"/>
      <c r="AV16" s="201"/>
    </row>
    <row r="17" spans="1:48" ht="12.75">
      <c r="A17" s="202"/>
      <c r="B17" s="236"/>
      <c r="C17" s="223"/>
      <c r="D17" s="224"/>
      <c r="E17" s="224"/>
      <c r="F17" s="224"/>
      <c r="G17" s="224"/>
      <c r="H17" s="224"/>
      <c r="I17" s="224"/>
      <c r="J17" s="224"/>
      <c r="K17" s="224"/>
      <c r="L17" s="224"/>
      <c r="M17" s="224"/>
      <c r="N17" s="224"/>
      <c r="O17" s="224"/>
      <c r="P17" s="224"/>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3"/>
      <c r="AT17" s="201"/>
      <c r="AU17" s="201"/>
      <c r="AV17" s="201"/>
    </row>
    <row r="18" spans="1:48" ht="12.75">
      <c r="A18" s="220"/>
      <c r="B18" s="133" t="s">
        <v>292</v>
      </c>
      <c r="C18" s="228" t="s">
        <v>136</v>
      </c>
      <c r="D18" s="56"/>
      <c r="E18" s="56"/>
      <c r="F18" s="56"/>
      <c r="G18" s="56"/>
      <c r="H18" s="56"/>
      <c r="I18" s="56"/>
      <c r="J18" s="56"/>
      <c r="K18" s="56"/>
      <c r="L18" s="56"/>
      <c r="M18" s="56"/>
      <c r="N18" s="56"/>
      <c r="O18" s="56"/>
      <c r="P18" s="56"/>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3"/>
      <c r="AT18" s="201"/>
      <c r="AU18" s="201"/>
      <c r="AV18" s="201"/>
    </row>
    <row r="19" spans="1:48" ht="12.75">
      <c r="A19" s="221"/>
      <c r="B19" s="56" t="s">
        <v>252</v>
      </c>
      <c r="C19" s="231" t="s">
        <v>257</v>
      </c>
      <c r="D19" s="226">
        <f>(D10-D12-D13)*D9</f>
        <v>0</v>
      </c>
      <c r="E19" s="226">
        <f>(E10-E12-E13)*E9</f>
        <v>29.469828150540913</v>
      </c>
      <c r="F19" s="226">
        <f aca="true" t="shared" si="1" ref="F19:N19">(F10-F12-F13)*F9</f>
        <v>33.855363437744394</v>
      </c>
      <c r="G19" s="226">
        <f t="shared" si="1"/>
        <v>37.62235096757908</v>
      </c>
      <c r="H19" s="226">
        <f>(H10-H12-H13)*H9/2</f>
        <v>16.973104730673484</v>
      </c>
      <c r="I19" s="226">
        <f t="shared" si="1"/>
        <v>34.92048617729724</v>
      </c>
      <c r="J19" s="226">
        <f t="shared" si="1"/>
        <v>29.093087322500082</v>
      </c>
      <c r="K19" s="226">
        <f t="shared" si="1"/>
        <v>23.159895353225448</v>
      </c>
      <c r="L19" s="226">
        <f t="shared" si="1"/>
        <v>24.458903334093254</v>
      </c>
      <c r="M19" s="226">
        <f t="shared" si="1"/>
        <v>24.852943384239214</v>
      </c>
      <c r="N19" s="226">
        <f t="shared" si="1"/>
        <v>23.734260649056736</v>
      </c>
      <c r="O19" s="226">
        <f>(O10-O12-O13)*O9</f>
        <v>26.75084695772675</v>
      </c>
      <c r="P19" s="226">
        <f>(P10-P12-P13)*P9</f>
        <v>42.856526573035985</v>
      </c>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3"/>
      <c r="AT19" s="201"/>
      <c r="AU19" s="201"/>
      <c r="AV19" s="201"/>
    </row>
    <row r="20" spans="1:48" ht="12.75">
      <c r="A20" s="221"/>
      <c r="B20" s="56" t="s">
        <v>290</v>
      </c>
      <c r="C20" s="231" t="s">
        <v>262</v>
      </c>
      <c r="D20" s="226">
        <f>-('3. Statement of pipeline assets'!D16+'3. Statement of pipeline assets'!D21+'3. Statement of pipeline assets'!D27+'3. Statement of pipeline assets'!D33+'3. Statement of pipeline assets'!D39+'3. Statement of pipeline assets'!D45+'3. Statement of pipeline assets'!D51+'3. Statement of pipeline assets'!D57+'3. Statement of pipeline assets'!D63+'3. Statement of pipeline assets'!D69+'3. Statement of pipeline assets'!D76+'3. Statement of pipeline assets'!D82)</f>
        <v>0</v>
      </c>
      <c r="E20" s="226">
        <f>-('3. Statement of pipeline assets'!E16+'3. Statement of pipeline assets'!E21+'3. Statement of pipeline assets'!E27+'3. Statement of pipeline assets'!E33+'3. Statement of pipeline assets'!E39+'3. Statement of pipeline assets'!E45+'3. Statement of pipeline assets'!E51+'3. Statement of pipeline assets'!E57+'3. Statement of pipeline assets'!E63+'3. Statement of pipeline assets'!E69+'3. Statement of pipeline assets'!E76+'3. Statement of pipeline assets'!E82)/1000000</f>
        <v>5.921291118472951</v>
      </c>
      <c r="F20" s="226">
        <f>-('3. Statement of pipeline assets'!F16+'3. Statement of pipeline assets'!F21+'3. Statement of pipeline assets'!F27+'3. Statement of pipeline assets'!F33+'3. Statement of pipeline assets'!F39+'3. Statement of pipeline assets'!F45+'3. Statement of pipeline assets'!F51+'3. Statement of pipeline assets'!F57+'3. Statement of pipeline assets'!F63+'3. Statement of pipeline assets'!F69+'3. Statement of pipeline assets'!F76+'3. Statement of pipeline assets'!F82)/1000000</f>
        <v>3.2850048271078887</v>
      </c>
      <c r="G20" s="226">
        <f>-('3. Statement of pipeline assets'!G16+'3. Statement of pipeline assets'!G21+'3. Statement of pipeline assets'!G27+'3. Statement of pipeline assets'!G33+'3. Statement of pipeline assets'!G39+'3. Statement of pipeline assets'!G45+'3. Statement of pipeline assets'!G51+'3. Statement of pipeline assets'!G57+'3. Statement of pipeline assets'!G63+'3. Statement of pipeline assets'!G69+'3. Statement of pipeline assets'!G76+'3. Statement of pipeline assets'!G82)/1000000</f>
        <v>2.0227710555397778</v>
      </c>
      <c r="H20" s="226">
        <f>-('3. Statement of pipeline assets'!H16+'3. Statement of pipeline assets'!H21+'3. Statement of pipeline assets'!H27+'3. Statement of pipeline assets'!H33+'3. Statement of pipeline assets'!H39+'3. Statement of pipeline assets'!H45+'3. Statement of pipeline assets'!H51+'3. Statement of pipeline assets'!H57+'3. Statement of pipeline assets'!H63+'3. Statement of pipeline assets'!H69+'3. Statement of pipeline assets'!H76+'3. Statement of pipeline assets'!H82)/1000000/2</f>
        <v>3.8146516962511265</v>
      </c>
      <c r="I20" s="226">
        <f>-AVERAGE(('3. Statement of pipeline assets'!I16+'3. Statement of pipeline assets'!I21+'3. Statement of pipeline assets'!I27+'3. Statement of pipeline assets'!I33+'3. Statement of pipeline assets'!I39+'3. Statement of pipeline assets'!I45+'3. Statement of pipeline assets'!I51+'3. Statement of pipeline assets'!I57+'3. Statement of pipeline assets'!I63+'3. Statement of pipeline assets'!I69+'3. Statement of pipeline assets'!I76+'3. Statement of pipeline assets'!I82),('3. Statement of pipeline assets'!H16+'3. Statement of pipeline assets'!H21+'3. Statement of pipeline assets'!H27+'3. Statement of pipeline assets'!H33+'3. Statement of pipeline assets'!H39+'3. Statement of pipeline assets'!H45+'3. Statement of pipeline assets'!H51+'3. Statement of pipeline assets'!H57+'3. Statement of pipeline assets'!H63+'3. Statement of pipeline assets'!H69+'3. Statement of pipeline assets'!H76+'3. Statement of pipeline assets'!H82))/1000000</f>
        <v>7.9768489515540795</v>
      </c>
      <c r="J20" s="226">
        <f>-AVERAGE(('3. Statement of pipeline assets'!J16+'3. Statement of pipeline assets'!J21+'3. Statement of pipeline assets'!J27+'3. Statement of pipeline assets'!J33+'3. Statement of pipeline assets'!J39+'3. Statement of pipeline assets'!J45+'3. Statement of pipeline assets'!J51+'3. Statement of pipeline assets'!J57+'3. Statement of pipeline assets'!J63+'3. Statement of pipeline assets'!J69+'3. Statement of pipeline assets'!J76+'3. Statement of pipeline assets'!J82),('3. Statement of pipeline assets'!I16+'3. Statement of pipeline assets'!I21+'3. Statement of pipeline assets'!I27+'3. Statement of pipeline assets'!I33+'3. Statement of pipeline assets'!I39+'3. Statement of pipeline assets'!I45+'3. Statement of pipeline assets'!I51+'3. Statement of pipeline assets'!I57+'3. Statement of pipeline assets'!I63+'3. Statement of pipeline assets'!I69+'3. Statement of pipeline assets'!I76+'3. Statement of pipeline assets'!I82))/1000000</f>
        <v>7.837802042962933</v>
      </c>
      <c r="K20" s="226">
        <f>-AVERAGE(('3. Statement of pipeline assets'!K16+'3. Statement of pipeline assets'!K21+'3. Statement of pipeline assets'!K27+'3. Statement of pipeline assets'!K33+'3. Statement of pipeline assets'!K39+'3. Statement of pipeline assets'!K45+'3. Statement of pipeline assets'!K51+'3. Statement of pipeline assets'!K57+'3. Statement of pipeline assets'!K63+'3. Statement of pipeline assets'!K69+'3. Statement of pipeline assets'!K76+'3. Statement of pipeline assets'!K82),('3. Statement of pipeline assets'!J16+'3. Statement of pipeline assets'!J21+'3. Statement of pipeline assets'!J27+'3. Statement of pipeline assets'!J33+'3. Statement of pipeline assets'!J39+'3. Statement of pipeline assets'!J45+'3. Statement of pipeline assets'!J51+'3. Statement of pipeline assets'!J57+'3. Statement of pipeline assets'!J63+'3. Statement of pipeline assets'!J69+'3. Statement of pipeline assets'!J76+'3. Statement of pipeline assets'!J82))/1000000</f>
        <v>6.756883928246158</v>
      </c>
      <c r="L20" s="226">
        <f>-AVERAGE(('3. Statement of pipeline assets'!L16+'3. Statement of pipeline assets'!L21+'3. Statement of pipeline assets'!L27+'3. Statement of pipeline assets'!L33+'3. Statement of pipeline assets'!L39+'3. Statement of pipeline assets'!L45+'3. Statement of pipeline assets'!L51+'3. Statement of pipeline assets'!L57+'3. Statement of pipeline assets'!L63+'3. Statement of pipeline assets'!L69+'3. Statement of pipeline assets'!L76+'3. Statement of pipeline assets'!L82),('3. Statement of pipeline assets'!K16+'3. Statement of pipeline assets'!K21+'3. Statement of pipeline assets'!K27+'3. Statement of pipeline assets'!K33+'3. Statement of pipeline assets'!K39+'3. Statement of pipeline assets'!K45+'3. Statement of pipeline assets'!K51+'3. Statement of pipeline assets'!K57+'3. Statement of pipeline assets'!K63+'3. Statement of pipeline assets'!K69+'3. Statement of pipeline assets'!K76+'3. Statement of pipeline assets'!K82))/1000000</f>
        <v>6.823397129095594</v>
      </c>
      <c r="M20" s="226">
        <f>-AVERAGE(('3. Statement of pipeline assets'!M16+'3. Statement of pipeline assets'!M21+'3. Statement of pipeline assets'!M27+'3. Statement of pipeline assets'!M33+'3. Statement of pipeline assets'!M39+'3. Statement of pipeline assets'!M45+'3. Statement of pipeline assets'!M51+'3. Statement of pipeline assets'!M57+'3. Statement of pipeline assets'!M63+'3. Statement of pipeline assets'!M69+'3. Statement of pipeline assets'!M76+'3. Statement of pipeline assets'!M82),('3. Statement of pipeline assets'!L16+'3. Statement of pipeline assets'!L21+'3. Statement of pipeline assets'!L27+'3. Statement of pipeline assets'!L33+'3. Statement of pipeline assets'!L39+'3. Statement of pipeline assets'!L45+'3. Statement of pipeline assets'!L51+'3. Statement of pipeline assets'!L57+'3. Statement of pipeline assets'!L63+'3. Statement of pipeline assets'!L69+'3. Statement of pipeline assets'!L76+'3. Statement of pipeline assets'!L82))/1000000</f>
        <v>7.841931569291761</v>
      </c>
      <c r="N20" s="226">
        <f>-AVERAGE(('3. Statement of pipeline assets'!N16+'3. Statement of pipeline assets'!N21+'3. Statement of pipeline assets'!N27+'3. Statement of pipeline assets'!N33+'3. Statement of pipeline assets'!N39+'3. Statement of pipeline assets'!N45+'3. Statement of pipeline assets'!N51+'3. Statement of pipeline assets'!N57+'3. Statement of pipeline assets'!N63+'3. Statement of pipeline assets'!N69+'3. Statement of pipeline assets'!N76+'3. Statement of pipeline assets'!N82),('3. Statement of pipeline assets'!M16+'3. Statement of pipeline assets'!M21+'3. Statement of pipeline assets'!M27+'3. Statement of pipeline assets'!M33+'3. Statement of pipeline assets'!M39+'3. Statement of pipeline assets'!M45+'3. Statement of pipeline assets'!M51+'3. Statement of pipeline assets'!M57+'3. Statement of pipeline assets'!M63+'3. Statement of pipeline assets'!M69+'3. Statement of pipeline assets'!M76+'3. Statement of pipeline assets'!M82))/1000000</f>
        <v>11.064227227347619</v>
      </c>
      <c r="O20" s="226">
        <f>-AVERAGE(('3. Statement of pipeline assets'!O16+'3. Statement of pipeline assets'!O21+'3. Statement of pipeline assets'!O27+'3. Statement of pipeline assets'!O33+'3. Statement of pipeline assets'!O39+'3. Statement of pipeline assets'!O45+'3. Statement of pipeline assets'!O51+'3. Statement of pipeline assets'!O57+'3. Statement of pipeline assets'!O63+'3. Statement of pipeline assets'!O69+'3. Statement of pipeline assets'!O76+'3. Statement of pipeline assets'!O82),('3. Statement of pipeline assets'!N16+'3. Statement of pipeline assets'!N21+'3. Statement of pipeline assets'!N27+'3. Statement of pipeline assets'!N33+'3. Statement of pipeline assets'!N39+'3. Statement of pipeline assets'!N45+'3. Statement of pipeline assets'!N51+'3. Statement of pipeline assets'!N57+'3. Statement of pipeline assets'!N63+'3. Statement of pipeline assets'!N69+'3. Statement of pipeline assets'!N76+'3. Statement of pipeline assets'!N82))/1000000</f>
        <v>8.03881790513908</v>
      </c>
      <c r="P20" s="342">
        <f>-(('3. Statement of pipeline assets'!P16+'3. Statement of pipeline assets'!P21+'3. Statement of pipeline assets'!P27+'3. Statement of pipeline assets'!P33+'3. Statement of pipeline assets'!P39+'3. Statement of pipeline assets'!P45+'3. Statement of pipeline assets'!P51+'3. Statement of pipeline assets'!P57+'3. Statement of pipeline assets'!P63+'3. Statement of pipeline assets'!P69+'3. Statement of pipeline assets'!P76+'3. Statement of pipeline assets'!P82)+('3. Statement of pipeline assets'!O16+'3. Statement of pipeline assets'!O21+'3. Statement of pipeline assets'!O27+'3. Statement of pipeline assets'!O33+'3. Statement of pipeline assets'!O39+'3. Statement of pipeline assets'!O45+'3. Statement of pipeline assets'!O51+'3. Statement of pipeline assets'!O57+'3. Statement of pipeline assets'!O63+'3. Statement of pipeline assets'!O69+'3. Statement of pipeline assets'!O76+'3. Statement of pipeline assets'!O82)/2)/1000000</f>
        <v>-8.338491014328428</v>
      </c>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3"/>
      <c r="AT20" s="201"/>
      <c r="AU20" s="201"/>
      <c r="AV20" s="201"/>
    </row>
    <row r="21" spans="1:48" ht="12.75">
      <c r="A21" s="221"/>
      <c r="B21" s="56" t="s">
        <v>253</v>
      </c>
      <c r="C21" s="231" t="s">
        <v>256</v>
      </c>
      <c r="D21" s="226">
        <f>D14</f>
        <v>0</v>
      </c>
      <c r="E21" s="226">
        <f>E14</f>
        <v>20.18083946057114</v>
      </c>
      <c r="F21" s="226">
        <f aca="true" t="shared" si="2" ref="F21:N21">F14</f>
        <v>20.191484206201586</v>
      </c>
      <c r="G21" s="226">
        <f t="shared" si="2"/>
        <v>21.036656925886053</v>
      </c>
      <c r="H21" s="226">
        <f t="shared" si="2"/>
        <v>8.31949654914426</v>
      </c>
      <c r="I21" s="226">
        <f t="shared" si="2"/>
        <v>17.80940354914426</v>
      </c>
      <c r="J21" s="226">
        <f t="shared" si="2"/>
        <v>18.99246216577636</v>
      </c>
      <c r="K21" s="226">
        <f t="shared" si="2"/>
        <v>18.943925380058317</v>
      </c>
      <c r="L21" s="226">
        <f t="shared" si="2"/>
        <v>18.588800949761314</v>
      </c>
      <c r="M21" s="226">
        <f t="shared" si="2"/>
        <v>18.111068477176143</v>
      </c>
      <c r="N21" s="226">
        <f t="shared" si="2"/>
        <v>17.93</v>
      </c>
      <c r="O21" s="226">
        <f>O14</f>
        <v>15.253224657810541</v>
      </c>
      <c r="P21" s="226">
        <f>P14</f>
        <v>17.163431227603848</v>
      </c>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3"/>
      <c r="AT21" s="201"/>
      <c r="AU21" s="201"/>
      <c r="AV21" s="201"/>
    </row>
    <row r="22" spans="1:48" ht="12.75">
      <c r="A22" s="221"/>
      <c r="B22" s="56" t="s">
        <v>259</v>
      </c>
      <c r="C22" s="231" t="s">
        <v>256</v>
      </c>
      <c r="D22" s="226">
        <f>D15</f>
        <v>0</v>
      </c>
      <c r="E22" s="226">
        <f>E15</f>
        <v>3.4916036710787086</v>
      </c>
      <c r="F22" s="226">
        <f aca="true" t="shared" si="3" ref="F22:N22">F15</f>
        <v>2.6363610075034902</v>
      </c>
      <c r="G22" s="226">
        <f t="shared" si="3"/>
        <v>2.12991340740019</v>
      </c>
      <c r="H22" s="226">
        <f t="shared" si="3"/>
        <v>1.7707383699904016</v>
      </c>
      <c r="I22" s="226">
        <f t="shared" si="3"/>
        <v>3.4758008451236364</v>
      </c>
      <c r="J22" s="226">
        <f t="shared" si="3"/>
        <v>1.9113086023135661</v>
      </c>
      <c r="K22" s="226">
        <f t="shared" si="3"/>
        <v>0.2062461271803313</v>
      </c>
      <c r="L22" s="226">
        <f t="shared" si="3"/>
        <v>0</v>
      </c>
      <c r="M22" s="226">
        <f t="shared" si="3"/>
        <v>0</v>
      </c>
      <c r="N22" s="226">
        <f t="shared" si="3"/>
        <v>0.795</v>
      </c>
      <c r="O22" s="226">
        <f>O15</f>
        <v>0.795</v>
      </c>
      <c r="P22" s="226">
        <f>P15</f>
        <v>0</v>
      </c>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3"/>
      <c r="AT22" s="201"/>
      <c r="AU22" s="201"/>
      <c r="AV22" s="201"/>
    </row>
    <row r="23" spans="1:48" ht="12.75">
      <c r="A23" s="221"/>
      <c r="B23" s="219" t="s">
        <v>291</v>
      </c>
      <c r="C23" s="230"/>
      <c r="D23" s="226">
        <f>SUM(D19:D22)</f>
        <v>0</v>
      </c>
      <c r="E23" s="226">
        <f>SUM(E19:E22)</f>
        <v>59.06356240066371</v>
      </c>
      <c r="F23" s="226">
        <f aca="true" t="shared" si="4" ref="F23:N23">SUM(F19:F22)</f>
        <v>59.96821347855736</v>
      </c>
      <c r="G23" s="226">
        <f t="shared" si="4"/>
        <v>62.811692356405096</v>
      </c>
      <c r="H23" s="226">
        <f t="shared" si="4"/>
        <v>30.87799134605927</v>
      </c>
      <c r="I23" s="226">
        <f t="shared" si="4"/>
        <v>64.18253952311923</v>
      </c>
      <c r="J23" s="226">
        <f t="shared" si="4"/>
        <v>57.834660133552944</v>
      </c>
      <c r="K23" s="226">
        <f t="shared" si="4"/>
        <v>49.06695078871025</v>
      </c>
      <c r="L23" s="226">
        <f t="shared" si="4"/>
        <v>49.87110141295016</v>
      </c>
      <c r="M23" s="226">
        <f t="shared" si="4"/>
        <v>50.80594343070712</v>
      </c>
      <c r="N23" s="226">
        <f t="shared" si="4"/>
        <v>53.52348787640435</v>
      </c>
      <c r="O23" s="226">
        <f>SUM(O19:O22)</f>
        <v>50.83788952067638</v>
      </c>
      <c r="P23" s="226">
        <f>SUM(P19:P22)</f>
        <v>51.681466786311404</v>
      </c>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3"/>
      <c r="AT23" s="201"/>
      <c r="AU23" s="201"/>
      <c r="AV23" s="201"/>
    </row>
    <row r="24" spans="1:48" ht="12.75">
      <c r="A24" s="221"/>
      <c r="B24" s="56"/>
      <c r="C24" s="56"/>
      <c r="D24" s="222"/>
      <c r="E24" s="222"/>
      <c r="F24" s="222"/>
      <c r="G24" s="222"/>
      <c r="H24" s="222"/>
      <c r="I24" s="222"/>
      <c r="J24" s="222"/>
      <c r="K24" s="222"/>
      <c r="L24" s="222"/>
      <c r="M24" s="222"/>
      <c r="N24" s="222"/>
      <c r="O24" s="222"/>
      <c r="P24" s="222"/>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3"/>
      <c r="AT24" s="201"/>
      <c r="AU24" s="201"/>
      <c r="AV24" s="201"/>
    </row>
    <row r="25" spans="1:48" ht="12.75">
      <c r="A25" s="221"/>
      <c r="B25" s="56"/>
      <c r="C25" s="56"/>
      <c r="D25" s="222"/>
      <c r="E25" s="222"/>
      <c r="F25" s="222"/>
      <c r="G25" s="222"/>
      <c r="H25" s="222"/>
      <c r="I25" s="222"/>
      <c r="J25" s="222"/>
      <c r="K25" s="222"/>
      <c r="L25" s="222"/>
      <c r="M25" s="222"/>
      <c r="N25" s="222"/>
      <c r="O25" s="222"/>
      <c r="P25" s="222"/>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3"/>
      <c r="AT25" s="201"/>
      <c r="AU25" s="201"/>
      <c r="AV25" s="201"/>
    </row>
    <row r="26" spans="1:48" ht="12.75">
      <c r="A26" s="207"/>
      <c r="B26" s="219" t="s">
        <v>287</v>
      </c>
      <c r="C26" s="229"/>
      <c r="D26" s="227"/>
      <c r="E26" s="227">
        <v>57.455776570000005</v>
      </c>
      <c r="F26" s="227">
        <v>65.55211431999999</v>
      </c>
      <c r="G26" s="227">
        <v>73.47193033999999</v>
      </c>
      <c r="H26" s="227">
        <v>37.44194175999999</v>
      </c>
      <c r="I26" s="227">
        <v>75.67655135999999</v>
      </c>
      <c r="J26" s="227">
        <v>73.80312488999999</v>
      </c>
      <c r="K26" s="227">
        <v>72.88131369</v>
      </c>
      <c r="L26" s="227">
        <v>75.653143265</v>
      </c>
      <c r="M26" s="227">
        <v>75.16256808</v>
      </c>
      <c r="N26" s="227">
        <v>75.72220487</v>
      </c>
      <c r="O26" s="226">
        <f>+'2.1 Revenue by service'!I24/1000000</f>
        <v>74.51448139</v>
      </c>
      <c r="P26" s="226">
        <f>+'2.1 Revenue by service'!F24/1000000</f>
        <v>74.00545598000001</v>
      </c>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row>
    <row r="27" spans="1:48" ht="12.75">
      <c r="A27" s="221"/>
      <c r="B27" s="236"/>
      <c r="C27" s="56"/>
      <c r="D27" s="222"/>
      <c r="E27" s="222"/>
      <c r="F27" s="222"/>
      <c r="G27" s="222"/>
      <c r="H27" s="222"/>
      <c r="I27" s="222"/>
      <c r="J27" s="222"/>
      <c r="K27" s="222"/>
      <c r="L27" s="222"/>
      <c r="M27" s="222"/>
      <c r="N27" s="222"/>
      <c r="O27" s="222"/>
      <c r="P27" s="222"/>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3"/>
      <c r="AT27" s="201"/>
      <c r="AU27" s="201"/>
      <c r="AV27" s="201"/>
    </row>
    <row r="28" spans="1:48" ht="12.75">
      <c r="A28" s="221"/>
      <c r="B28" s="236"/>
      <c r="C28" s="56"/>
      <c r="D28" s="222"/>
      <c r="E28" s="272"/>
      <c r="F28" s="272"/>
      <c r="G28" s="272"/>
      <c r="H28" s="272"/>
      <c r="I28" s="272"/>
      <c r="J28" s="272"/>
      <c r="K28" s="272"/>
      <c r="L28" s="272"/>
      <c r="M28" s="272"/>
      <c r="N28" s="272"/>
      <c r="O28" s="272"/>
      <c r="P28" s="272"/>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3"/>
      <c r="AT28" s="201"/>
      <c r="AU28" s="201"/>
      <c r="AV28" s="201"/>
    </row>
    <row r="29" spans="1:48" ht="12.75">
      <c r="A29" s="221"/>
      <c r="B29" s="133" t="s">
        <v>293</v>
      </c>
      <c r="C29" s="228" t="s">
        <v>136</v>
      </c>
      <c r="D29" s="222"/>
      <c r="E29" s="222"/>
      <c r="F29" s="222"/>
      <c r="G29" s="222"/>
      <c r="H29" s="222"/>
      <c r="I29" s="273"/>
      <c r="J29" s="273"/>
      <c r="K29" s="273"/>
      <c r="L29" s="273"/>
      <c r="M29" s="273"/>
      <c r="N29" s="273"/>
      <c r="O29" s="273"/>
      <c r="P29" s="273"/>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3"/>
      <c r="AT29" s="201"/>
      <c r="AU29" s="201"/>
      <c r="AV29" s="201"/>
    </row>
    <row r="30" spans="1:48" ht="12.75">
      <c r="A30" s="221"/>
      <c r="B30" s="56" t="s">
        <v>253</v>
      </c>
      <c r="C30" s="231" t="s">
        <v>256</v>
      </c>
      <c r="D30" s="226">
        <f aca="true" t="shared" si="5" ref="D30:F31">D14</f>
        <v>0</v>
      </c>
      <c r="E30" s="226">
        <f t="shared" si="5"/>
        <v>20.18083946057114</v>
      </c>
      <c r="F30" s="226">
        <f t="shared" si="5"/>
        <v>20.191484206201586</v>
      </c>
      <c r="G30" s="226">
        <f aca="true" t="shared" si="6" ref="G30:N30">G14</f>
        <v>21.036656925886053</v>
      </c>
      <c r="H30" s="226">
        <f t="shared" si="6"/>
        <v>8.31949654914426</v>
      </c>
      <c r="I30" s="226">
        <f t="shared" si="6"/>
        <v>17.80940354914426</v>
      </c>
      <c r="J30" s="226">
        <f t="shared" si="6"/>
        <v>18.99246216577636</v>
      </c>
      <c r="K30" s="226">
        <f t="shared" si="6"/>
        <v>18.943925380058317</v>
      </c>
      <c r="L30" s="226">
        <f t="shared" si="6"/>
        <v>18.588800949761314</v>
      </c>
      <c r="M30" s="226">
        <f t="shared" si="6"/>
        <v>18.111068477176143</v>
      </c>
      <c r="N30" s="226">
        <f t="shared" si="6"/>
        <v>17.93</v>
      </c>
      <c r="O30" s="226">
        <f>O14</f>
        <v>15.253224657810541</v>
      </c>
      <c r="P30" s="226">
        <f>P14</f>
        <v>17.163431227603848</v>
      </c>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3"/>
      <c r="AT30" s="201"/>
      <c r="AU30" s="201"/>
      <c r="AV30" s="201"/>
    </row>
    <row r="31" spans="1:48" ht="12.75">
      <c r="A31" s="221"/>
      <c r="B31" s="56" t="s">
        <v>259</v>
      </c>
      <c r="C31" s="231" t="s">
        <v>256</v>
      </c>
      <c r="D31" s="226">
        <f t="shared" si="5"/>
        <v>0</v>
      </c>
      <c r="E31" s="226">
        <f t="shared" si="5"/>
        <v>3.4916036710787086</v>
      </c>
      <c r="F31" s="226">
        <f t="shared" si="5"/>
        <v>2.6363610075034902</v>
      </c>
      <c r="G31" s="226">
        <f aca="true" t="shared" si="7" ref="G31:N31">G15</f>
        <v>2.12991340740019</v>
      </c>
      <c r="H31" s="226">
        <f t="shared" si="7"/>
        <v>1.7707383699904016</v>
      </c>
      <c r="I31" s="226">
        <f t="shared" si="7"/>
        <v>3.4758008451236364</v>
      </c>
      <c r="J31" s="226">
        <f t="shared" si="7"/>
        <v>1.9113086023135661</v>
      </c>
      <c r="K31" s="226">
        <f t="shared" si="7"/>
        <v>0.2062461271803313</v>
      </c>
      <c r="L31" s="226">
        <f t="shared" si="7"/>
        <v>0</v>
      </c>
      <c r="M31" s="226">
        <f t="shared" si="7"/>
        <v>0</v>
      </c>
      <c r="N31" s="226">
        <f t="shared" si="7"/>
        <v>0.795</v>
      </c>
      <c r="O31" s="226">
        <f>O15</f>
        <v>0.795</v>
      </c>
      <c r="P31" s="226">
        <f>P15</f>
        <v>0</v>
      </c>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3"/>
      <c r="AT31" s="201"/>
      <c r="AU31" s="201"/>
      <c r="AV31" s="201"/>
    </row>
    <row r="32" spans="2:16" ht="12.75">
      <c r="B32" s="56" t="s">
        <v>252</v>
      </c>
      <c r="C32" s="231" t="s">
        <v>294</v>
      </c>
      <c r="D32" s="225"/>
      <c r="E32" s="225"/>
      <c r="F32" s="225"/>
      <c r="G32" s="225"/>
      <c r="H32" s="225"/>
      <c r="I32" s="225"/>
      <c r="J32" s="225"/>
      <c r="K32" s="225"/>
      <c r="L32" s="225"/>
      <c r="M32" s="225"/>
      <c r="N32" s="225"/>
      <c r="O32" s="225"/>
      <c r="P32" s="225"/>
    </row>
    <row r="33" spans="1:48" ht="12.75">
      <c r="A33" s="220"/>
      <c r="B33" s="56" t="s">
        <v>290</v>
      </c>
      <c r="C33" s="231" t="s">
        <v>294</v>
      </c>
      <c r="D33" s="225"/>
      <c r="E33" s="225"/>
      <c r="F33" s="225"/>
      <c r="G33" s="225"/>
      <c r="H33" s="225"/>
      <c r="I33" s="225"/>
      <c r="J33" s="225"/>
      <c r="K33" s="225"/>
      <c r="L33" s="225"/>
      <c r="M33" s="225"/>
      <c r="N33" s="225"/>
      <c r="O33" s="225"/>
      <c r="P33" s="225"/>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3"/>
      <c r="AT33" s="201"/>
      <c r="AU33" s="201"/>
      <c r="AV33" s="201"/>
    </row>
    <row r="34" spans="1:48" ht="12.75">
      <c r="A34" s="221"/>
      <c r="B34" s="219" t="s">
        <v>289</v>
      </c>
      <c r="C34" s="231" t="s">
        <v>294</v>
      </c>
      <c r="D34" s="225"/>
      <c r="E34" s="225"/>
      <c r="F34" s="225"/>
      <c r="G34" s="225"/>
      <c r="H34" s="225"/>
      <c r="I34" s="225"/>
      <c r="J34" s="225"/>
      <c r="K34" s="225"/>
      <c r="L34" s="225"/>
      <c r="M34" s="225"/>
      <c r="N34" s="225"/>
      <c r="O34" s="225"/>
      <c r="P34" s="225"/>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3"/>
      <c r="AT34" s="201"/>
      <c r="AU34" s="201"/>
      <c r="AV34" s="201"/>
    </row>
    <row r="35" spans="1:54" ht="12.75">
      <c r="A35" s="207"/>
      <c r="B35" s="207"/>
      <c r="C35" s="207"/>
      <c r="D35" s="207"/>
      <c r="E35" s="207"/>
      <c r="F35" s="207"/>
      <c r="G35" s="207"/>
      <c r="H35" s="207"/>
      <c r="I35" s="207"/>
      <c r="J35" s="207"/>
      <c r="K35" s="207"/>
      <c r="L35" s="207"/>
      <c r="M35" s="207"/>
      <c r="N35" s="207"/>
      <c r="O35" s="207"/>
      <c r="P35" s="207"/>
      <c r="Q35" s="207"/>
      <c r="R35" s="207"/>
      <c r="S35" s="207"/>
      <c r="T35" s="207"/>
      <c r="U35" s="208"/>
      <c r="V35" s="209"/>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row>
    <row r="36" spans="1:54" ht="12.75">
      <c r="A36" s="207"/>
      <c r="B36" s="207"/>
      <c r="C36" s="207"/>
      <c r="D36" s="207"/>
      <c r="E36" s="207"/>
      <c r="F36" s="207"/>
      <c r="G36" s="207"/>
      <c r="H36" s="207"/>
      <c r="I36" s="207"/>
      <c r="J36" s="207"/>
      <c r="K36" s="207"/>
      <c r="L36" s="207"/>
      <c r="M36" s="207"/>
      <c r="N36" s="207"/>
      <c r="O36" s="207"/>
      <c r="P36" s="207"/>
      <c r="Q36" s="207"/>
      <c r="R36" s="207"/>
      <c r="S36" s="207"/>
      <c r="T36" s="207"/>
      <c r="U36" s="208"/>
      <c r="V36" s="209"/>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row>
    <row r="37" spans="1:54" ht="12.75">
      <c r="A37" s="207"/>
      <c r="B37" s="207"/>
      <c r="C37" s="207"/>
      <c r="D37" s="207"/>
      <c r="E37" s="207"/>
      <c r="F37" s="207"/>
      <c r="G37" s="207"/>
      <c r="H37" s="207"/>
      <c r="I37" s="207"/>
      <c r="J37" s="207"/>
      <c r="K37" s="207"/>
      <c r="L37" s="207"/>
      <c r="M37" s="207"/>
      <c r="N37" s="207"/>
      <c r="O37" s="207"/>
      <c r="P37" s="207"/>
      <c r="Q37" s="207"/>
      <c r="R37" s="207"/>
      <c r="S37" s="207"/>
      <c r="T37" s="207"/>
      <c r="U37" s="208"/>
      <c r="V37" s="209"/>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row>
    <row r="38" spans="1:54" ht="12.75">
      <c r="A38" s="207"/>
      <c r="B38" s="207"/>
      <c r="C38" s="207"/>
      <c r="D38" s="341"/>
      <c r="E38" s="341"/>
      <c r="F38" s="341"/>
      <c r="G38" s="341"/>
      <c r="H38" s="341"/>
      <c r="I38" s="341"/>
      <c r="J38" s="341"/>
      <c r="K38" s="341"/>
      <c r="L38" s="341"/>
      <c r="M38" s="341"/>
      <c r="N38" s="341"/>
      <c r="O38" s="341"/>
      <c r="P38" s="341"/>
      <c r="Q38" s="207"/>
      <c r="R38" s="207"/>
      <c r="S38" s="207"/>
      <c r="T38" s="207"/>
      <c r="U38" s="208"/>
      <c r="V38" s="209"/>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row>
    <row r="39" spans="1:54" ht="12.75">
      <c r="A39" s="207"/>
      <c r="B39" s="207"/>
      <c r="C39" s="207"/>
      <c r="D39" s="341"/>
      <c r="E39" s="341"/>
      <c r="F39" s="341"/>
      <c r="G39" s="341"/>
      <c r="H39" s="341"/>
      <c r="I39" s="341"/>
      <c r="J39" s="341"/>
      <c r="K39" s="341"/>
      <c r="L39" s="341"/>
      <c r="M39" s="341"/>
      <c r="N39" s="341"/>
      <c r="O39" s="341"/>
      <c r="P39" s="341"/>
      <c r="Q39" s="207"/>
      <c r="R39" s="207"/>
      <c r="S39" s="207"/>
      <c r="T39" s="207"/>
      <c r="U39" s="208"/>
      <c r="V39" s="209"/>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row>
    <row r="40" spans="1:54" ht="12.75">
      <c r="A40" s="207"/>
      <c r="B40" s="207"/>
      <c r="C40" s="207"/>
      <c r="D40" s="341"/>
      <c r="E40" s="341"/>
      <c r="F40" s="341"/>
      <c r="G40" s="341"/>
      <c r="H40" s="341"/>
      <c r="I40" s="341"/>
      <c r="J40" s="341"/>
      <c r="K40" s="341"/>
      <c r="L40" s="341"/>
      <c r="M40" s="341"/>
      <c r="N40" s="341"/>
      <c r="O40" s="341"/>
      <c r="P40" s="341"/>
      <c r="Q40" s="207"/>
      <c r="R40" s="207"/>
      <c r="S40" s="207"/>
      <c r="T40" s="207"/>
      <c r="U40" s="209"/>
      <c r="V40" s="209"/>
      <c r="W40" s="209"/>
      <c r="X40" s="209"/>
      <c r="Y40" s="209"/>
      <c r="Z40" s="209"/>
      <c r="AA40" s="209"/>
      <c r="AB40" s="209"/>
      <c r="AC40" s="209"/>
      <c r="AD40" s="209"/>
      <c r="AE40" s="209"/>
      <c r="AF40" s="209"/>
      <c r="AG40" s="209"/>
      <c r="AH40" s="209"/>
      <c r="AI40" s="208"/>
      <c r="AJ40" s="208"/>
      <c r="AK40" s="208"/>
      <c r="AL40" s="208"/>
      <c r="AM40" s="208"/>
      <c r="AN40" s="208"/>
      <c r="AO40" s="208"/>
      <c r="AP40" s="208"/>
      <c r="AQ40" s="208"/>
      <c r="AR40" s="208"/>
      <c r="AS40" s="208"/>
      <c r="AT40" s="208"/>
      <c r="AU40" s="208"/>
      <c r="AV40" s="208"/>
      <c r="AW40" s="208"/>
      <c r="AX40" s="208"/>
      <c r="AY40" s="208"/>
      <c r="AZ40" s="208"/>
      <c r="BA40" s="208"/>
      <c r="BB40" s="208"/>
    </row>
    <row r="41" spans="1:54" ht="12.75">
      <c r="A41" s="207"/>
      <c r="B41" s="207"/>
      <c r="C41" s="207"/>
      <c r="D41" s="341"/>
      <c r="E41" s="341"/>
      <c r="F41" s="341"/>
      <c r="G41" s="341"/>
      <c r="H41" s="341"/>
      <c r="I41" s="341"/>
      <c r="J41" s="341"/>
      <c r="K41" s="341"/>
      <c r="L41" s="341"/>
      <c r="M41" s="341"/>
      <c r="N41" s="341"/>
      <c r="O41" s="341"/>
      <c r="P41" s="341"/>
      <c r="Q41" s="207"/>
      <c r="R41" s="207"/>
      <c r="S41" s="207"/>
      <c r="T41" s="207"/>
      <c r="U41" s="209"/>
      <c r="V41" s="209"/>
      <c r="W41" s="209"/>
      <c r="X41" s="209"/>
      <c r="Y41" s="209"/>
      <c r="Z41" s="209"/>
      <c r="AA41" s="209"/>
      <c r="AB41" s="209"/>
      <c r="AC41" s="209"/>
      <c r="AD41" s="209"/>
      <c r="AE41" s="209"/>
      <c r="AF41" s="209"/>
      <c r="AG41" s="209"/>
      <c r="AH41" s="209"/>
      <c r="AI41" s="209"/>
      <c r="AJ41" s="208"/>
      <c r="AK41" s="208"/>
      <c r="AL41" s="208"/>
      <c r="AM41" s="208"/>
      <c r="AN41" s="208"/>
      <c r="AO41" s="208"/>
      <c r="AP41" s="208"/>
      <c r="AQ41" s="208"/>
      <c r="AR41" s="208"/>
      <c r="AS41" s="208"/>
      <c r="AT41" s="208"/>
      <c r="AU41" s="208"/>
      <c r="AV41" s="208"/>
      <c r="AW41" s="208"/>
      <c r="AX41" s="208"/>
      <c r="AY41" s="208"/>
      <c r="AZ41" s="208"/>
      <c r="BA41" s="208"/>
      <c r="BB41" s="208"/>
    </row>
    <row r="42" spans="1:54" ht="12.75">
      <c r="A42" s="207"/>
      <c r="B42" s="207"/>
      <c r="C42" s="207"/>
      <c r="D42" s="341"/>
      <c r="E42" s="341"/>
      <c r="F42" s="341"/>
      <c r="G42" s="341"/>
      <c r="H42" s="341"/>
      <c r="I42" s="341"/>
      <c r="J42" s="341"/>
      <c r="K42" s="341"/>
      <c r="L42" s="341"/>
      <c r="M42" s="341"/>
      <c r="N42" s="341"/>
      <c r="O42" s="341"/>
      <c r="P42" s="341"/>
      <c r="Q42" s="207"/>
      <c r="R42" s="207"/>
      <c r="S42" s="207"/>
      <c r="T42" s="207"/>
      <c r="U42" s="208"/>
      <c r="V42" s="209"/>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row>
    <row r="43" spans="1:54" ht="12.75">
      <c r="A43" s="207"/>
      <c r="B43" s="207"/>
      <c r="C43" s="207"/>
      <c r="D43" s="341"/>
      <c r="E43" s="341"/>
      <c r="F43" s="341"/>
      <c r="G43" s="341"/>
      <c r="H43" s="341"/>
      <c r="I43" s="341"/>
      <c r="J43" s="341"/>
      <c r="K43" s="341"/>
      <c r="L43" s="341"/>
      <c r="M43" s="341"/>
      <c r="N43" s="341"/>
      <c r="O43" s="341"/>
      <c r="P43" s="341"/>
      <c r="Q43" s="207"/>
      <c r="R43" s="207"/>
      <c r="S43" s="207"/>
      <c r="T43" s="207"/>
      <c r="U43" s="208"/>
      <c r="V43" s="209"/>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row>
    <row r="44" spans="1:54" ht="12.75">
      <c r="A44" s="207"/>
      <c r="B44" s="207"/>
      <c r="C44" s="207"/>
      <c r="D44" s="341"/>
      <c r="E44" s="341"/>
      <c r="F44" s="341"/>
      <c r="G44" s="341"/>
      <c r="H44" s="341"/>
      <c r="I44" s="341"/>
      <c r="J44" s="341"/>
      <c r="K44" s="341"/>
      <c r="L44" s="341"/>
      <c r="M44" s="341"/>
      <c r="N44" s="341"/>
      <c r="O44" s="341"/>
      <c r="P44" s="341"/>
      <c r="Q44" s="207"/>
      <c r="R44" s="207"/>
      <c r="S44" s="207"/>
      <c r="T44" s="207"/>
      <c r="U44" s="208"/>
      <c r="V44" s="209"/>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row>
    <row r="45" spans="1:54" ht="12.75">
      <c r="A45" s="207"/>
      <c r="B45" s="207"/>
      <c r="C45" s="207"/>
      <c r="D45" s="341"/>
      <c r="E45" s="341"/>
      <c r="F45" s="341"/>
      <c r="G45" s="341"/>
      <c r="H45" s="341"/>
      <c r="I45" s="341"/>
      <c r="J45" s="341"/>
      <c r="K45" s="341"/>
      <c r="L45" s="341"/>
      <c r="M45" s="341"/>
      <c r="N45" s="341"/>
      <c r="O45" s="341"/>
      <c r="P45" s="341"/>
      <c r="Q45" s="207"/>
      <c r="R45" s="207"/>
      <c r="S45" s="207"/>
      <c r="T45" s="207"/>
      <c r="U45" s="208"/>
      <c r="V45" s="209"/>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row>
    <row r="46" spans="1:54" ht="12.75">
      <c r="A46" s="207"/>
      <c r="B46" s="207"/>
      <c r="C46" s="207"/>
      <c r="D46" s="341"/>
      <c r="E46" s="341"/>
      <c r="F46" s="341"/>
      <c r="G46" s="341"/>
      <c r="H46" s="341"/>
      <c r="I46" s="341"/>
      <c r="J46" s="341"/>
      <c r="K46" s="341"/>
      <c r="L46" s="341"/>
      <c r="M46" s="341"/>
      <c r="N46" s="341"/>
      <c r="O46" s="341"/>
      <c r="P46" s="341"/>
      <c r="Q46" s="207"/>
      <c r="R46" s="207"/>
      <c r="S46" s="207"/>
      <c r="T46" s="207"/>
      <c r="U46" s="208"/>
      <c r="V46" s="209"/>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row>
    <row r="47" spans="1:54" ht="12.75">
      <c r="A47" s="207"/>
      <c r="B47" s="207"/>
      <c r="C47" s="207"/>
      <c r="D47" s="341"/>
      <c r="E47" s="341"/>
      <c r="F47" s="341"/>
      <c r="G47" s="341"/>
      <c r="H47" s="341"/>
      <c r="I47" s="341"/>
      <c r="J47" s="341"/>
      <c r="K47" s="341"/>
      <c r="L47" s="341"/>
      <c r="M47" s="341"/>
      <c r="N47" s="341"/>
      <c r="O47" s="341"/>
      <c r="P47" s="341"/>
      <c r="Q47" s="207"/>
      <c r="R47" s="207"/>
      <c r="S47" s="207"/>
      <c r="T47" s="207"/>
      <c r="U47" s="208"/>
      <c r="V47" s="209"/>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row>
    <row r="48" spans="1:54" ht="12.75">
      <c r="A48" s="207"/>
      <c r="B48" s="207"/>
      <c r="C48" s="207"/>
      <c r="D48" s="341"/>
      <c r="E48" s="341"/>
      <c r="F48" s="341"/>
      <c r="G48" s="341"/>
      <c r="H48" s="341"/>
      <c r="I48" s="341"/>
      <c r="J48" s="341"/>
      <c r="K48" s="341"/>
      <c r="L48" s="341"/>
      <c r="M48" s="341"/>
      <c r="N48" s="341"/>
      <c r="O48" s="341"/>
      <c r="P48" s="341"/>
      <c r="Q48" s="207"/>
      <c r="R48" s="207"/>
      <c r="S48" s="207"/>
      <c r="T48" s="207"/>
      <c r="U48" s="208"/>
      <c r="V48" s="209"/>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row>
    <row r="49" spans="1:54" ht="12.75">
      <c r="A49" s="207"/>
      <c r="B49" s="207"/>
      <c r="C49" s="207"/>
      <c r="D49" s="341"/>
      <c r="E49" s="341"/>
      <c r="F49" s="341"/>
      <c r="G49" s="341"/>
      <c r="H49" s="341"/>
      <c r="I49" s="341"/>
      <c r="J49" s="341"/>
      <c r="K49" s="341"/>
      <c r="L49" s="341"/>
      <c r="M49" s="341"/>
      <c r="N49" s="341"/>
      <c r="O49" s="341"/>
      <c r="P49" s="341"/>
      <c r="Q49" s="207"/>
      <c r="R49" s="207"/>
      <c r="S49" s="207"/>
      <c r="T49" s="207"/>
      <c r="U49" s="208"/>
      <c r="V49" s="209"/>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row>
    <row r="50" spans="1:54" ht="12.75">
      <c r="A50" s="207"/>
      <c r="B50" s="207"/>
      <c r="C50" s="207"/>
      <c r="D50" s="341"/>
      <c r="E50" s="341"/>
      <c r="F50" s="341"/>
      <c r="G50" s="341"/>
      <c r="H50" s="341"/>
      <c r="I50" s="341"/>
      <c r="J50" s="341"/>
      <c r="K50" s="341"/>
      <c r="L50" s="341"/>
      <c r="M50" s="341"/>
      <c r="N50" s="341"/>
      <c r="O50" s="341"/>
      <c r="P50" s="341"/>
      <c r="Q50" s="207"/>
      <c r="R50" s="207"/>
      <c r="S50" s="207"/>
      <c r="T50" s="207"/>
      <c r="U50" s="208"/>
      <c r="V50" s="209"/>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row>
    <row r="51" spans="1:54" ht="12.75">
      <c r="A51" s="207"/>
      <c r="B51" s="207"/>
      <c r="C51" s="207"/>
      <c r="D51" s="341"/>
      <c r="E51" s="341"/>
      <c r="F51" s="341"/>
      <c r="G51" s="341"/>
      <c r="H51" s="341"/>
      <c r="I51" s="341"/>
      <c r="J51" s="341"/>
      <c r="K51" s="341"/>
      <c r="L51" s="341"/>
      <c r="M51" s="341"/>
      <c r="N51" s="341"/>
      <c r="O51" s="341"/>
      <c r="P51" s="341"/>
      <c r="Q51" s="207"/>
      <c r="R51" s="207"/>
      <c r="S51" s="207"/>
      <c r="T51" s="207"/>
      <c r="U51" s="208"/>
      <c r="V51" s="209"/>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row>
    <row r="52" spans="1:54" ht="12.75">
      <c r="A52" s="207"/>
      <c r="B52" s="207"/>
      <c r="C52" s="207"/>
      <c r="D52" s="341"/>
      <c r="E52" s="341"/>
      <c r="F52" s="341"/>
      <c r="G52" s="341"/>
      <c r="H52" s="341"/>
      <c r="I52" s="341"/>
      <c r="J52" s="341"/>
      <c r="K52" s="341"/>
      <c r="L52" s="341"/>
      <c r="M52" s="341"/>
      <c r="N52" s="341"/>
      <c r="O52" s="341"/>
      <c r="P52" s="341"/>
      <c r="Q52" s="207"/>
      <c r="R52" s="207"/>
      <c r="S52" s="207"/>
      <c r="T52" s="207"/>
      <c r="U52" s="208"/>
      <c r="V52" s="209"/>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row>
    <row r="53" spans="1:54" ht="12.75">
      <c r="A53" s="207"/>
      <c r="B53" s="207"/>
      <c r="C53" s="207"/>
      <c r="D53" s="341"/>
      <c r="E53" s="341"/>
      <c r="F53" s="341"/>
      <c r="G53" s="341"/>
      <c r="H53" s="341"/>
      <c r="I53" s="341"/>
      <c r="J53" s="341"/>
      <c r="K53" s="341"/>
      <c r="L53" s="341"/>
      <c r="M53" s="341"/>
      <c r="N53" s="341"/>
      <c r="O53" s="341"/>
      <c r="P53" s="341"/>
      <c r="Q53" s="207"/>
      <c r="R53" s="207"/>
      <c r="S53" s="207"/>
      <c r="T53" s="207"/>
      <c r="U53" s="208"/>
      <c r="V53" s="209"/>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row>
    <row r="54" spans="1:54" ht="12.75">
      <c r="A54" s="207"/>
      <c r="B54" s="207"/>
      <c r="C54" s="207"/>
      <c r="D54" s="341"/>
      <c r="E54" s="341"/>
      <c r="F54" s="341"/>
      <c r="G54" s="341"/>
      <c r="H54" s="341"/>
      <c r="I54" s="341"/>
      <c r="J54" s="341"/>
      <c r="K54" s="341"/>
      <c r="L54" s="341"/>
      <c r="M54" s="341"/>
      <c r="N54" s="341"/>
      <c r="O54" s="341"/>
      <c r="P54" s="341"/>
      <c r="Q54" s="207"/>
      <c r="R54" s="207"/>
      <c r="S54" s="207"/>
      <c r="T54" s="207"/>
      <c r="U54" s="208"/>
      <c r="V54" s="209"/>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row>
    <row r="55" spans="1:54" ht="12.75">
      <c r="A55" s="207"/>
      <c r="B55" s="207"/>
      <c r="C55" s="207"/>
      <c r="D55" s="341"/>
      <c r="E55" s="341"/>
      <c r="F55" s="341"/>
      <c r="G55" s="341"/>
      <c r="H55" s="341"/>
      <c r="I55" s="341"/>
      <c r="J55" s="341"/>
      <c r="K55" s="341"/>
      <c r="L55" s="341"/>
      <c r="M55" s="341"/>
      <c r="N55" s="341"/>
      <c r="O55" s="341"/>
      <c r="P55" s="341"/>
      <c r="Q55" s="207"/>
      <c r="R55" s="207"/>
      <c r="S55" s="207"/>
      <c r="T55" s="207"/>
      <c r="U55" s="208"/>
      <c r="V55" s="209"/>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row>
    <row r="56" spans="1:54" ht="12.75">
      <c r="A56" s="207"/>
      <c r="B56" s="207"/>
      <c r="C56" s="207"/>
      <c r="D56" s="341"/>
      <c r="E56" s="341"/>
      <c r="F56" s="341"/>
      <c r="G56" s="341"/>
      <c r="H56" s="341"/>
      <c r="I56" s="341"/>
      <c r="J56" s="341"/>
      <c r="K56" s="341"/>
      <c r="L56" s="341"/>
      <c r="M56" s="341"/>
      <c r="N56" s="341"/>
      <c r="O56" s="341"/>
      <c r="P56" s="341"/>
      <c r="Q56" s="207"/>
      <c r="R56" s="207"/>
      <c r="S56" s="207"/>
      <c r="T56" s="207"/>
      <c r="U56" s="208"/>
      <c r="V56" s="209"/>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row>
    <row r="57" spans="1:54" ht="12.75">
      <c r="A57" s="207"/>
      <c r="B57" s="207"/>
      <c r="C57" s="207"/>
      <c r="D57" s="341"/>
      <c r="E57" s="341"/>
      <c r="F57" s="341"/>
      <c r="G57" s="341"/>
      <c r="H57" s="341"/>
      <c r="I57" s="341"/>
      <c r="J57" s="341"/>
      <c r="K57" s="341"/>
      <c r="L57" s="341"/>
      <c r="M57" s="341"/>
      <c r="N57" s="341"/>
      <c r="O57" s="341"/>
      <c r="P57" s="341"/>
      <c r="Q57" s="207"/>
      <c r="R57" s="207"/>
      <c r="S57" s="207"/>
      <c r="T57" s="207"/>
      <c r="U57" s="208"/>
      <c r="V57" s="209"/>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row>
    <row r="58" spans="1:54" ht="12.75">
      <c r="A58" s="207"/>
      <c r="B58" s="207"/>
      <c r="C58" s="207"/>
      <c r="D58" s="341"/>
      <c r="E58" s="341"/>
      <c r="F58" s="341"/>
      <c r="G58" s="341"/>
      <c r="H58" s="341"/>
      <c r="I58" s="341"/>
      <c r="J58" s="341"/>
      <c r="K58" s="341"/>
      <c r="L58" s="341"/>
      <c r="M58" s="341"/>
      <c r="N58" s="341"/>
      <c r="O58" s="341"/>
      <c r="P58" s="341"/>
      <c r="Q58" s="207"/>
      <c r="R58" s="207"/>
      <c r="S58" s="207"/>
      <c r="T58" s="207"/>
      <c r="U58" s="208"/>
      <c r="V58" s="209"/>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row>
    <row r="59" spans="1:54" ht="12.75">
      <c r="A59" s="207"/>
      <c r="B59" s="207"/>
      <c r="C59" s="207"/>
      <c r="D59" s="341"/>
      <c r="E59" s="341"/>
      <c r="F59" s="341"/>
      <c r="G59" s="341"/>
      <c r="H59" s="341"/>
      <c r="I59" s="341"/>
      <c r="J59" s="341"/>
      <c r="K59" s="341"/>
      <c r="L59" s="341"/>
      <c r="M59" s="341"/>
      <c r="N59" s="341"/>
      <c r="O59" s="341"/>
      <c r="P59" s="341"/>
      <c r="Q59" s="207"/>
      <c r="R59" s="207"/>
      <c r="S59" s="207"/>
      <c r="T59" s="207"/>
      <c r="U59" s="208"/>
      <c r="V59" s="209"/>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row>
    <row r="60" spans="1:54" ht="12.75">
      <c r="A60" s="207"/>
      <c r="B60" s="207"/>
      <c r="C60" s="207"/>
      <c r="D60" s="341"/>
      <c r="E60" s="341"/>
      <c r="F60" s="341"/>
      <c r="G60" s="341"/>
      <c r="H60" s="341"/>
      <c r="I60" s="341"/>
      <c r="J60" s="341"/>
      <c r="K60" s="341"/>
      <c r="L60" s="341"/>
      <c r="M60" s="341"/>
      <c r="N60" s="341"/>
      <c r="O60" s="341"/>
      <c r="P60" s="341"/>
      <c r="Q60" s="207"/>
      <c r="R60" s="207"/>
      <c r="S60" s="207"/>
      <c r="T60" s="207"/>
      <c r="U60" s="208"/>
      <c r="V60" s="209"/>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row>
    <row r="61" spans="1:54" ht="12.75">
      <c r="A61" s="207"/>
      <c r="B61" s="207"/>
      <c r="C61" s="211"/>
      <c r="D61" s="341"/>
      <c r="E61" s="341"/>
      <c r="F61" s="341"/>
      <c r="G61" s="341"/>
      <c r="H61" s="341"/>
      <c r="I61" s="341"/>
      <c r="J61" s="341"/>
      <c r="K61" s="341"/>
      <c r="L61" s="341"/>
      <c r="M61" s="341"/>
      <c r="N61" s="341"/>
      <c r="O61" s="341"/>
      <c r="P61" s="341"/>
      <c r="Q61" s="210"/>
      <c r="R61" s="204"/>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row>
    <row r="62" spans="1:54" ht="15">
      <c r="A62" s="205"/>
      <c r="B62" s="205"/>
      <c r="C62" s="385"/>
      <c r="D62" s="385"/>
      <c r="E62" s="205"/>
      <c r="F62" s="205"/>
      <c r="G62" s="205"/>
      <c r="H62" s="205"/>
      <c r="I62" s="205"/>
      <c r="J62" s="205"/>
      <c r="K62" s="205"/>
      <c r="L62" s="205"/>
      <c r="M62" s="205"/>
      <c r="N62" s="205"/>
      <c r="O62" s="205"/>
      <c r="P62" s="205"/>
      <c r="Q62" s="212"/>
      <c r="R62" s="213"/>
      <c r="S62" s="213"/>
      <c r="T62" s="213"/>
      <c r="U62" s="206"/>
      <c r="V62" s="214"/>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row>
  </sheetData>
  <sheetProtection/>
  <mergeCells count="2">
    <mergeCell ref="C62:D62"/>
    <mergeCell ref="D5:P5"/>
  </mergeCells>
  <printOptions/>
  <pageMargins left="0.7" right="0.7" top="0.75" bottom="0.75" header="0.3" footer="0.3"/>
  <pageSetup horizontalDpi="600" verticalDpi="600" orientation="portrait" paperSize="9" r:id="rId4"/>
  <ignoredErrors>
    <ignoredError sqref="I8:P8" formulaRange="1"/>
  </ignoredErrors>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B1:L78"/>
  <sheetViews>
    <sheetView zoomScalePageLayoutView="0" workbookViewId="0" topLeftCell="A1">
      <selection activeCell="C4" sqref="C4"/>
    </sheetView>
  </sheetViews>
  <sheetFormatPr defaultColWidth="9.140625" defaultRowHeight="12.75"/>
  <cols>
    <col min="1" max="1" width="12.00390625" style="275" customWidth="1"/>
    <col min="2" max="2" width="16.421875" style="275" bestFit="1" customWidth="1"/>
    <col min="3" max="3" width="43.421875" style="275" customWidth="1"/>
    <col min="4" max="9" width="20.7109375" style="275" customWidth="1"/>
    <col min="10" max="10" width="9.140625" style="275" customWidth="1"/>
    <col min="11" max="11" width="13.8515625" style="275" customWidth="1"/>
    <col min="12" max="12" width="37.140625" style="275" customWidth="1"/>
    <col min="13" max="16384" width="9.140625" style="275" customWidth="1"/>
  </cols>
  <sheetData>
    <row r="1" spans="2:9" ht="20.25">
      <c r="B1" s="388" t="s">
        <v>198</v>
      </c>
      <c r="C1" s="388"/>
      <c r="D1" s="388"/>
      <c r="E1" s="296"/>
      <c r="F1" s="296"/>
      <c r="G1" s="296"/>
      <c r="H1" s="296"/>
      <c r="I1" s="296"/>
    </row>
    <row r="2" spans="2:9" ht="18" customHeight="1">
      <c r="B2" s="277" t="s">
        <v>374</v>
      </c>
      <c r="C2" s="278"/>
      <c r="I2" s="297"/>
    </row>
    <row r="3" spans="2:3" ht="15">
      <c r="B3" s="279" t="s">
        <v>184</v>
      </c>
      <c r="C3" s="280">
        <v>44926</v>
      </c>
    </row>
    <row r="4" spans="2:7" ht="12.75" customHeight="1">
      <c r="B4" s="276"/>
      <c r="D4" s="282"/>
      <c r="G4" s="282"/>
    </row>
    <row r="5" spans="2:8" ht="15.75">
      <c r="B5" s="389" t="s">
        <v>224</v>
      </c>
      <c r="C5" s="389"/>
      <c r="D5" s="389"/>
      <c r="E5" s="327"/>
      <c r="F5" s="328"/>
      <c r="G5" s="329"/>
      <c r="H5" s="328"/>
    </row>
    <row r="6" spans="2:9" ht="12.75">
      <c r="B6" s="298"/>
      <c r="C6" s="299"/>
      <c r="D6" s="300"/>
      <c r="E6" s="300"/>
      <c r="F6" s="300"/>
      <c r="G6" s="300"/>
      <c r="H6" s="300"/>
      <c r="I6" s="300"/>
    </row>
    <row r="7" spans="2:9" ht="30.75" customHeight="1">
      <c r="B7" s="301"/>
      <c r="C7" s="301"/>
      <c r="D7" s="390" t="s">
        <v>230</v>
      </c>
      <c r="E7" s="391"/>
      <c r="F7" s="392"/>
      <c r="G7" s="390" t="s">
        <v>231</v>
      </c>
      <c r="H7" s="391"/>
      <c r="I7" s="392"/>
    </row>
    <row r="8" spans="2:9" ht="51" customHeight="1">
      <c r="B8" s="302" t="s">
        <v>223</v>
      </c>
      <c r="C8" s="301" t="s">
        <v>19</v>
      </c>
      <c r="D8" s="303" t="s">
        <v>61</v>
      </c>
      <c r="E8" s="303" t="s">
        <v>62</v>
      </c>
      <c r="F8" s="303" t="s">
        <v>25</v>
      </c>
      <c r="G8" s="303" t="s">
        <v>61</v>
      </c>
      <c r="H8" s="303" t="s">
        <v>62</v>
      </c>
      <c r="I8" s="303" t="s">
        <v>25</v>
      </c>
    </row>
    <row r="9" spans="2:9" ht="12.75">
      <c r="B9" s="304"/>
      <c r="C9" s="305"/>
      <c r="D9" s="306" t="s">
        <v>186</v>
      </c>
      <c r="E9" s="306" t="s">
        <v>186</v>
      </c>
      <c r="F9" s="306" t="s">
        <v>186</v>
      </c>
      <c r="G9" s="306" t="s">
        <v>186</v>
      </c>
      <c r="H9" s="306" t="s">
        <v>186</v>
      </c>
      <c r="I9" s="306" t="s">
        <v>186</v>
      </c>
    </row>
    <row r="10" spans="2:12" ht="12.75">
      <c r="B10" s="304"/>
      <c r="C10" s="307" t="s">
        <v>47</v>
      </c>
      <c r="D10" s="308"/>
      <c r="E10" s="308"/>
      <c r="F10" s="308"/>
      <c r="G10" s="306"/>
      <c r="H10" s="306"/>
      <c r="I10" s="306"/>
      <c r="K10" s="309"/>
      <c r="L10" s="309"/>
    </row>
    <row r="11" spans="2:12" ht="12.75">
      <c r="B11" s="350" t="s">
        <v>504</v>
      </c>
      <c r="C11" s="310" t="s">
        <v>129</v>
      </c>
      <c r="D11" s="311">
        <f>'2.1 Revenue by service'!D24</f>
        <v>74005455.98</v>
      </c>
      <c r="E11" s="311">
        <f>'2.1 Revenue by service'!E24</f>
        <v>0</v>
      </c>
      <c r="F11" s="311">
        <f>'2.1 Revenue by service'!F24</f>
        <v>74005455.98</v>
      </c>
      <c r="G11" s="293">
        <f>'2.1 Revenue by service'!G24</f>
        <v>74514481.39</v>
      </c>
      <c r="H11" s="293">
        <f>'2.1 Revenue by service'!H24</f>
        <v>0</v>
      </c>
      <c r="I11" s="293">
        <f>'2.1 Revenue by service'!I24</f>
        <v>74514481.39</v>
      </c>
      <c r="K11" s="312"/>
      <c r="L11" s="313"/>
    </row>
    <row r="12" spans="2:12" ht="12.75">
      <c r="B12" s="350" t="s">
        <v>504</v>
      </c>
      <c r="C12" s="310" t="s">
        <v>51</v>
      </c>
      <c r="D12" s="314"/>
      <c r="E12" s="314"/>
      <c r="F12" s="311">
        <f>SUM(D12:E12)</f>
        <v>0</v>
      </c>
      <c r="G12" s="292"/>
      <c r="H12" s="292"/>
      <c r="I12" s="293">
        <f>SUM(G12:H12)</f>
        <v>0</v>
      </c>
      <c r="K12" s="312"/>
      <c r="L12" s="313"/>
    </row>
    <row r="13" spans="2:12" ht="12.75">
      <c r="B13" s="351"/>
      <c r="C13" s="316" t="s">
        <v>50</v>
      </c>
      <c r="D13" s="317">
        <f aca="true" t="shared" si="0" ref="D13:I13">SUM(D11:D12)</f>
        <v>74005455.98</v>
      </c>
      <c r="E13" s="317">
        <f t="shared" si="0"/>
        <v>0</v>
      </c>
      <c r="F13" s="317">
        <f t="shared" si="0"/>
        <v>74005455.98</v>
      </c>
      <c r="G13" s="318">
        <f t="shared" si="0"/>
        <v>74514481.39</v>
      </c>
      <c r="H13" s="318">
        <f t="shared" si="0"/>
        <v>0</v>
      </c>
      <c r="I13" s="318">
        <f t="shared" si="0"/>
        <v>74514481.39</v>
      </c>
      <c r="K13" s="312"/>
      <c r="L13" s="313"/>
    </row>
    <row r="14" spans="2:12" ht="12.75">
      <c r="B14" s="352"/>
      <c r="C14" s="307" t="s">
        <v>56</v>
      </c>
      <c r="D14" s="319"/>
      <c r="E14" s="319"/>
      <c r="F14" s="319"/>
      <c r="G14" s="320"/>
      <c r="H14" s="320"/>
      <c r="I14" s="320"/>
      <c r="K14" s="312"/>
      <c r="L14" s="313"/>
    </row>
    <row r="15" spans="2:12" ht="12.75">
      <c r="B15" s="350" t="s">
        <v>505</v>
      </c>
      <c r="C15" s="310" t="s">
        <v>21</v>
      </c>
      <c r="D15" s="311">
        <f>'2.3 Indirect revenue'!G36</f>
        <v>0</v>
      </c>
      <c r="E15" s="311">
        <f>'2.3 Indirect revenue'!H36</f>
        <v>0</v>
      </c>
      <c r="F15" s="311">
        <f>SUM(D15:E15)</f>
        <v>0</v>
      </c>
      <c r="G15" s="292"/>
      <c r="H15" s="292"/>
      <c r="I15" s="293">
        <f>SUM(G15:H15)</f>
        <v>0</v>
      </c>
      <c r="K15" s="312"/>
      <c r="L15" s="313"/>
    </row>
    <row r="16" spans="2:12" ht="12.75">
      <c r="B16" s="351"/>
      <c r="C16" s="316" t="s">
        <v>52</v>
      </c>
      <c r="D16" s="317">
        <f aca="true" t="shared" si="1" ref="D16:I16">SUM(D15:D15)</f>
        <v>0</v>
      </c>
      <c r="E16" s="317">
        <f t="shared" si="1"/>
        <v>0</v>
      </c>
      <c r="F16" s="317">
        <f t="shared" si="1"/>
        <v>0</v>
      </c>
      <c r="G16" s="318">
        <f t="shared" si="1"/>
        <v>0</v>
      </c>
      <c r="H16" s="318">
        <f t="shared" si="1"/>
        <v>0</v>
      </c>
      <c r="I16" s="318">
        <f t="shared" si="1"/>
        <v>0</v>
      </c>
      <c r="K16" s="312"/>
      <c r="L16" s="313"/>
    </row>
    <row r="17" spans="2:12" ht="12.75">
      <c r="B17" s="351"/>
      <c r="C17" s="316" t="s">
        <v>22</v>
      </c>
      <c r="D17" s="317">
        <f aca="true" t="shared" si="2" ref="D17:I17">D13+D16</f>
        <v>74005455.98</v>
      </c>
      <c r="E17" s="317">
        <f t="shared" si="2"/>
        <v>0</v>
      </c>
      <c r="F17" s="317">
        <f t="shared" si="2"/>
        <v>74005455.98</v>
      </c>
      <c r="G17" s="318">
        <f t="shared" si="2"/>
        <v>74514481.39</v>
      </c>
      <c r="H17" s="318">
        <f t="shared" si="2"/>
        <v>0</v>
      </c>
      <c r="I17" s="318">
        <f t="shared" si="2"/>
        <v>74514481.39</v>
      </c>
      <c r="K17" s="312"/>
      <c r="L17" s="313"/>
    </row>
    <row r="18" spans="2:12" ht="12.75">
      <c r="B18" s="351"/>
      <c r="C18" s="321" t="s">
        <v>63</v>
      </c>
      <c r="D18" s="319"/>
      <c r="E18" s="319"/>
      <c r="F18" s="319"/>
      <c r="G18" s="320"/>
      <c r="H18" s="320"/>
      <c r="I18" s="320"/>
      <c r="J18" s="284"/>
      <c r="K18" s="312"/>
      <c r="L18" s="313"/>
    </row>
    <row r="19" spans="2:12" ht="12.75">
      <c r="B19" s="350" t="s">
        <v>506</v>
      </c>
      <c r="C19" s="322" t="s">
        <v>132</v>
      </c>
      <c r="D19" s="314">
        <v>-12343680.67796365</v>
      </c>
      <c r="E19" s="314"/>
      <c r="F19" s="311">
        <f aca="true" t="shared" si="3" ref="F19:F26">SUM(D19:E19)</f>
        <v>-12343680.67796365</v>
      </c>
      <c r="G19" s="323">
        <v>-12422975.389463477</v>
      </c>
      <c r="H19" s="292"/>
      <c r="I19" s="311">
        <f aca="true" t="shared" si="4" ref="I19:I24">SUM(G19:H19)</f>
        <v>-12422975.389463477</v>
      </c>
      <c r="J19" s="284"/>
      <c r="K19" s="312"/>
      <c r="L19" s="313"/>
    </row>
    <row r="20" spans="2:12" ht="12.75">
      <c r="B20" s="350" t="s">
        <v>506</v>
      </c>
      <c r="C20" s="322" t="s">
        <v>133</v>
      </c>
      <c r="D20" s="314"/>
      <c r="E20" s="314"/>
      <c r="F20" s="311">
        <f t="shared" si="3"/>
        <v>0</v>
      </c>
      <c r="G20" s="323"/>
      <c r="H20" s="292"/>
      <c r="I20" s="311">
        <f t="shared" si="4"/>
        <v>0</v>
      </c>
      <c r="J20" s="284"/>
      <c r="K20" s="312"/>
      <c r="L20" s="313"/>
    </row>
    <row r="21" spans="2:12" ht="12.75">
      <c r="B21" s="350" t="s">
        <v>506</v>
      </c>
      <c r="C21" s="322" t="s">
        <v>23</v>
      </c>
      <c r="D21" s="314">
        <v>9902572.3402484</v>
      </c>
      <c r="E21" s="314"/>
      <c r="F21" s="311">
        <f t="shared" si="3"/>
        <v>9902572.3402484</v>
      </c>
      <c r="G21" s="323">
        <v>-6604487.693966506</v>
      </c>
      <c r="H21" s="292"/>
      <c r="I21" s="311">
        <f t="shared" si="4"/>
        <v>-6604487.693966506</v>
      </c>
      <c r="J21" s="284"/>
      <c r="K21" s="312"/>
      <c r="L21" s="313"/>
    </row>
    <row r="22" spans="2:12" ht="12.75">
      <c r="B22" s="350" t="s">
        <v>506</v>
      </c>
      <c r="C22" s="322" t="s">
        <v>53</v>
      </c>
      <c r="D22" s="314"/>
      <c r="E22" s="314"/>
      <c r="F22" s="311">
        <f t="shared" si="3"/>
        <v>0</v>
      </c>
      <c r="G22" s="323"/>
      <c r="H22" s="292"/>
      <c r="I22" s="311">
        <f t="shared" si="4"/>
        <v>0</v>
      </c>
      <c r="J22" s="284"/>
      <c r="K22" s="312"/>
      <c r="L22" s="313"/>
    </row>
    <row r="23" spans="2:12" ht="12.75">
      <c r="B23" s="350" t="s">
        <v>506</v>
      </c>
      <c r="C23" s="322" t="s">
        <v>54</v>
      </c>
      <c r="D23" s="314">
        <v>-975028.47</v>
      </c>
      <c r="E23" s="314"/>
      <c r="F23" s="311">
        <f t="shared" si="3"/>
        <v>-975028.47</v>
      </c>
      <c r="G23" s="323">
        <v>-108109.50000000012</v>
      </c>
      <c r="H23" s="292"/>
      <c r="I23" s="311">
        <f t="shared" si="4"/>
        <v>-108109.50000000012</v>
      </c>
      <c r="J23" s="284"/>
      <c r="K23" s="312"/>
      <c r="L23" s="313"/>
    </row>
    <row r="24" spans="2:12" ht="12.75">
      <c r="B24" s="350" t="s">
        <v>506</v>
      </c>
      <c r="C24" s="322" t="s">
        <v>55</v>
      </c>
      <c r="D24" s="314"/>
      <c r="E24" s="314"/>
      <c r="F24" s="311">
        <f t="shared" si="3"/>
        <v>0</v>
      </c>
      <c r="G24" s="323"/>
      <c r="H24" s="292"/>
      <c r="I24" s="311">
        <f t="shared" si="4"/>
        <v>0</v>
      </c>
      <c r="J24" s="284"/>
      <c r="K24" s="312"/>
      <c r="L24" s="313"/>
    </row>
    <row r="25" spans="2:12" ht="12.75">
      <c r="B25" s="350" t="s">
        <v>506</v>
      </c>
      <c r="C25" s="322" t="s">
        <v>69</v>
      </c>
      <c r="D25" s="314"/>
      <c r="E25" s="314"/>
      <c r="F25" s="311">
        <f>SUM(D25:E25)</f>
        <v>0</v>
      </c>
      <c r="G25" s="323"/>
      <c r="H25" s="292"/>
      <c r="I25" s="311">
        <f>SUM(G25:H25)</f>
        <v>0</v>
      </c>
      <c r="J25" s="284"/>
      <c r="K25" s="312"/>
      <c r="L25" s="313"/>
    </row>
    <row r="26" spans="2:12" ht="12.75">
      <c r="B26" s="350" t="s">
        <v>506</v>
      </c>
      <c r="C26" s="324" t="s">
        <v>66</v>
      </c>
      <c r="D26" s="314">
        <v>-904566.53</v>
      </c>
      <c r="E26" s="314"/>
      <c r="F26" s="311">
        <f t="shared" si="3"/>
        <v>-904566.53</v>
      </c>
      <c r="G26" s="323">
        <v>177961.59023717378</v>
      </c>
      <c r="H26" s="292"/>
      <c r="I26" s="311">
        <f>SUM(G26:H26)</f>
        <v>177961.59023717378</v>
      </c>
      <c r="J26" s="284"/>
      <c r="K26" s="312"/>
      <c r="L26" s="313"/>
    </row>
    <row r="27" spans="2:12" ht="12.75">
      <c r="B27" s="351"/>
      <c r="C27" s="316" t="s">
        <v>64</v>
      </c>
      <c r="D27" s="317">
        <f aca="true" t="shared" si="5" ref="D27:I27">SUM(D19:D26)</f>
        <v>-4320703.3377152495</v>
      </c>
      <c r="E27" s="317">
        <f t="shared" si="5"/>
        <v>0</v>
      </c>
      <c r="F27" s="317">
        <f t="shared" si="5"/>
        <v>-4320703.3377152495</v>
      </c>
      <c r="G27" s="317">
        <f t="shared" si="5"/>
        <v>-18957610.99319281</v>
      </c>
      <c r="H27" s="318">
        <f t="shared" si="5"/>
        <v>0</v>
      </c>
      <c r="I27" s="317">
        <f t="shared" si="5"/>
        <v>-18957610.99319281</v>
      </c>
      <c r="K27" s="312"/>
      <c r="L27" s="313"/>
    </row>
    <row r="28" spans="2:12" ht="12.75">
      <c r="B28" s="350" t="s">
        <v>507</v>
      </c>
      <c r="C28" s="321" t="s">
        <v>164</v>
      </c>
      <c r="D28" s="319"/>
      <c r="E28" s="319"/>
      <c r="F28" s="319"/>
      <c r="G28" s="320"/>
      <c r="H28" s="320"/>
      <c r="I28" s="319"/>
      <c r="K28" s="312"/>
      <c r="L28" s="313"/>
    </row>
    <row r="29" spans="2:12" ht="12.75">
      <c r="B29" s="350" t="s">
        <v>507</v>
      </c>
      <c r="C29" s="322" t="s">
        <v>57</v>
      </c>
      <c r="D29" s="311">
        <f>SUMIF('2.4 Shared costs'!$C$9:$C$35,'2. Revenues and expenses'!$C29,'2.4 Shared costs'!$H$9:$H$35)</f>
        <v>-735801.822269653</v>
      </c>
      <c r="E29" s="311">
        <f>SUMIF('2.4 Shared costs'!$D10:$D36,'2. Revenues and expenses'!$C29,'2.4 Shared costs'!I10:I36)</f>
        <v>0</v>
      </c>
      <c r="F29" s="311">
        <f aca="true" t="shared" si="6" ref="F29:F37">SUM(D29:E29)</f>
        <v>-735801.822269653</v>
      </c>
      <c r="G29" s="323">
        <v>-863216.5634530655</v>
      </c>
      <c r="H29" s="295"/>
      <c r="I29" s="311">
        <f aca="true" t="shared" si="7" ref="I29:I37">SUM(G29:H29)</f>
        <v>-863216.5634530655</v>
      </c>
      <c r="K29" s="312"/>
      <c r="L29" s="313"/>
    </row>
    <row r="30" spans="2:12" ht="12.75">
      <c r="B30" s="350" t="s">
        <v>507</v>
      </c>
      <c r="C30" s="322" t="s">
        <v>67</v>
      </c>
      <c r="D30" s="311">
        <f>SUMIF('2.4 Shared costs'!$C$9:$C$35,'2. Revenues and expenses'!$C30,'2.4 Shared costs'!$H$9:$H$35)</f>
        <v>-168396.08862648808</v>
      </c>
      <c r="E30" s="311">
        <f>SUMIF('2.4 Shared costs'!$D11:$D37,'2. Revenues and expenses'!$C30,'2.4 Shared costs'!I11:I37)</f>
        <v>0</v>
      </c>
      <c r="F30" s="311">
        <f t="shared" si="6"/>
        <v>-168396.08862648808</v>
      </c>
      <c r="G30" s="323">
        <v>-113292.63463047944</v>
      </c>
      <c r="H30" s="295"/>
      <c r="I30" s="311">
        <f t="shared" si="7"/>
        <v>-113292.63463047944</v>
      </c>
      <c r="K30" s="312"/>
      <c r="L30" s="313"/>
    </row>
    <row r="31" spans="2:12" ht="12.75">
      <c r="B31" s="350" t="s">
        <v>507</v>
      </c>
      <c r="C31" s="310" t="s">
        <v>58</v>
      </c>
      <c r="D31" s="311">
        <f>SUMIF('2.4 Shared costs'!$C$9:$C$35,'2. Revenues and expenses'!$C31,'2.4 Shared costs'!$H$9:$H$35)</f>
        <v>0</v>
      </c>
      <c r="E31" s="311">
        <f>SUMIF('2.4 Shared costs'!$D12:$D38,'2. Revenues and expenses'!$C31,'2.4 Shared costs'!I12:I38)</f>
        <v>0</v>
      </c>
      <c r="F31" s="311">
        <f t="shared" si="6"/>
        <v>0</v>
      </c>
      <c r="G31" s="323">
        <v>0</v>
      </c>
      <c r="H31" s="295"/>
      <c r="I31" s="311">
        <f t="shared" si="7"/>
        <v>0</v>
      </c>
      <c r="K31" s="312"/>
      <c r="L31" s="313"/>
    </row>
    <row r="32" spans="2:12" ht="12.75">
      <c r="B32" s="350" t="s">
        <v>507</v>
      </c>
      <c r="C32" s="324" t="s">
        <v>59</v>
      </c>
      <c r="D32" s="311">
        <f>+'2.4 Shared costs'!H12</f>
        <v>-1564081.3259199732</v>
      </c>
      <c r="E32" s="311">
        <f>SUMIF('2.4 Shared costs'!$D13:$D39,'2. Revenues and expenses'!$C32,'2.4 Shared costs'!I13:I39)</f>
        <v>0</v>
      </c>
      <c r="F32" s="311">
        <f t="shared" si="6"/>
        <v>-1564081.3259199732</v>
      </c>
      <c r="G32" s="323">
        <v>-1434330.2111725735</v>
      </c>
      <c r="H32" s="295"/>
      <c r="I32" s="311">
        <f t="shared" si="7"/>
        <v>-1434330.2111725735</v>
      </c>
      <c r="K32" s="312"/>
      <c r="L32" s="313"/>
    </row>
    <row r="33" spans="2:12" ht="12.75">
      <c r="B33" s="350" t="s">
        <v>507</v>
      </c>
      <c r="C33" s="324" t="s">
        <v>68</v>
      </c>
      <c r="D33" s="311">
        <f>SUMIF('2.4 Shared costs'!$C$9:$C$35,'2. Revenues and expenses'!$C33,'2.4 Shared costs'!$H$9:$H$35)</f>
        <v>-47713.80192667279</v>
      </c>
      <c r="E33" s="311">
        <f>SUMIF('2.4 Shared costs'!$D14:$D40,'2. Revenues and expenses'!$C33,'2.4 Shared costs'!I14:I40)</f>
        <v>0</v>
      </c>
      <c r="F33" s="311">
        <f t="shared" si="6"/>
        <v>-47713.80192667279</v>
      </c>
      <c r="G33" s="323">
        <v>-44889.755622394936</v>
      </c>
      <c r="H33" s="295"/>
      <c r="I33" s="311">
        <f t="shared" si="7"/>
        <v>-44889.755622394936</v>
      </c>
      <c r="K33" s="312"/>
      <c r="L33" s="313"/>
    </row>
    <row r="34" spans="2:12" ht="12.75">
      <c r="B34" s="350" t="s">
        <v>507</v>
      </c>
      <c r="C34" s="310" t="s">
        <v>134</v>
      </c>
      <c r="D34" s="311">
        <f>SUMIF('2.4 Shared costs'!$C$9:$C$35,'2. Revenues and expenses'!$C34,'2.4 Shared costs'!$H$9:$H$35)</f>
        <v>-309644.78007478325</v>
      </c>
      <c r="E34" s="311">
        <f>SUMIF('2.4 Shared costs'!$D15:$D41,'2. Revenues and expenses'!$C34,'2.4 Shared costs'!I15:I41)</f>
        <v>0</v>
      </c>
      <c r="F34" s="311">
        <f t="shared" si="6"/>
        <v>-309644.78007478325</v>
      </c>
      <c r="G34" s="323">
        <v>-355712.0310158124</v>
      </c>
      <c r="H34" s="295"/>
      <c r="I34" s="311">
        <f t="shared" si="7"/>
        <v>-355712.0310158124</v>
      </c>
      <c r="K34" s="312"/>
      <c r="L34" s="313"/>
    </row>
    <row r="35" spans="2:12" ht="12.75">
      <c r="B35" s="350" t="s">
        <v>507</v>
      </c>
      <c r="C35" s="310" t="s">
        <v>60</v>
      </c>
      <c r="D35" s="311">
        <f>SUMIF('2.4 Shared costs'!$C$9:$C$35,'2. Revenues and expenses'!$C35,'2.4 Shared costs'!$H$9:$H$35)</f>
        <v>0</v>
      </c>
      <c r="E35" s="311">
        <f>SUMIF('2.4 Shared costs'!$D16:$D42,'2. Revenues and expenses'!$C35,'2.4 Shared costs'!I16:I42)</f>
        <v>0</v>
      </c>
      <c r="F35" s="311">
        <f t="shared" si="6"/>
        <v>0</v>
      </c>
      <c r="G35" s="323">
        <v>0</v>
      </c>
      <c r="H35" s="295"/>
      <c r="I35" s="311">
        <f t="shared" si="7"/>
        <v>0</v>
      </c>
      <c r="K35" s="312"/>
      <c r="L35" s="313"/>
    </row>
    <row r="36" spans="2:12" ht="12.75">
      <c r="B36" s="350" t="s">
        <v>507</v>
      </c>
      <c r="C36" s="310" t="s">
        <v>0</v>
      </c>
      <c r="D36" s="311">
        <f>SUMIF('2.4 Shared costs'!$C$9:$C$35,'2. Revenues and expenses'!$C36,'2.4 Shared costs'!$H$9:$H$35)</f>
        <v>0</v>
      </c>
      <c r="E36" s="311">
        <f>SUMIF('2.4 Shared costs'!$D17:$D43,'2. Revenues and expenses'!$C36,'2.4 Shared costs'!I17:I43)</f>
        <v>0</v>
      </c>
      <c r="F36" s="311">
        <f t="shared" si="6"/>
        <v>0</v>
      </c>
      <c r="G36" s="323">
        <v>0</v>
      </c>
      <c r="H36" s="295"/>
      <c r="I36" s="311">
        <f t="shared" si="7"/>
        <v>0</v>
      </c>
      <c r="K36" s="312"/>
      <c r="L36" s="313"/>
    </row>
    <row r="37" spans="2:12" ht="12.75">
      <c r="B37" s="350" t="s">
        <v>507</v>
      </c>
      <c r="C37" s="324" t="s">
        <v>181</v>
      </c>
      <c r="D37" s="311">
        <f>SUMIF('2.4 Shared costs'!$C$9:$C$35,'2. Revenues and expenses'!$C37,'2.4 Shared costs'!$H$9:$H$35)</f>
        <v>-1678599.0567426037</v>
      </c>
      <c r="E37" s="311">
        <f>SUMIF('2.4 Shared costs'!$D18:$D44,'2. Revenues and expenses'!$C37,'2.4 Shared costs'!I18:I44)</f>
        <v>0</v>
      </c>
      <c r="F37" s="311">
        <f t="shared" si="6"/>
        <v>-1678599.0567426037</v>
      </c>
      <c r="G37" s="323">
        <v>-1522990.3738624863</v>
      </c>
      <c r="H37" s="295"/>
      <c r="I37" s="311">
        <f t="shared" si="7"/>
        <v>-1522990.3738624863</v>
      </c>
      <c r="K37" s="312"/>
      <c r="L37" s="313"/>
    </row>
    <row r="38" spans="2:12" ht="12.75">
      <c r="B38" s="315"/>
      <c r="C38" s="316" t="s">
        <v>182</v>
      </c>
      <c r="D38" s="317">
        <f>SUM(D29:D37)</f>
        <v>-4504236.875560174</v>
      </c>
      <c r="E38" s="317">
        <f>SUM(E29:E37)</f>
        <v>0</v>
      </c>
      <c r="F38" s="317">
        <f>SUM(F29:F37)</f>
        <v>-4504236.875560174</v>
      </c>
      <c r="G38" s="323">
        <v>-4334431.5697568115</v>
      </c>
      <c r="H38" s="295"/>
      <c r="I38" s="317">
        <f>SUM(I29:I37)</f>
        <v>-4334431.5697568115</v>
      </c>
      <c r="K38" s="312"/>
      <c r="L38" s="313"/>
    </row>
    <row r="39" spans="2:12" ht="12.75">
      <c r="B39" s="315"/>
      <c r="C39" s="316" t="s">
        <v>65</v>
      </c>
      <c r="D39" s="317">
        <f>D27+D38</f>
        <v>-8824940.213275423</v>
      </c>
      <c r="E39" s="317">
        <f>E27+E38</f>
        <v>0</v>
      </c>
      <c r="F39" s="317">
        <f>F27+F38</f>
        <v>-8824940.213275423</v>
      </c>
      <c r="G39" s="323">
        <f>G27+G38</f>
        <v>-23292042.56294962</v>
      </c>
      <c r="H39" s="295"/>
      <c r="I39" s="317">
        <f>I27+I38</f>
        <v>-23292042.56294962</v>
      </c>
      <c r="K39" s="312"/>
      <c r="L39" s="313"/>
    </row>
    <row r="40" spans="2:12" ht="12.75">
      <c r="B40" s="295"/>
      <c r="C40" s="316" t="s">
        <v>96</v>
      </c>
      <c r="D40" s="311">
        <f>D17+D39</f>
        <v>65180515.76672458</v>
      </c>
      <c r="E40" s="311">
        <f>E17+E39</f>
        <v>0</v>
      </c>
      <c r="F40" s="311">
        <f>F17+F39</f>
        <v>65180515.76672458</v>
      </c>
      <c r="G40" s="323">
        <f>G17+G39</f>
        <v>51222438.82705038</v>
      </c>
      <c r="H40" s="295"/>
      <c r="I40" s="311">
        <f>I17+I39</f>
        <v>51222438.82705038</v>
      </c>
      <c r="K40" s="312"/>
      <c r="L40" s="313"/>
    </row>
    <row r="41" spans="4:9" ht="12.75">
      <c r="D41" s="325"/>
      <c r="E41" s="326"/>
      <c r="F41" s="326"/>
      <c r="G41" s="326"/>
      <c r="H41" s="326"/>
      <c r="I41" s="326"/>
    </row>
    <row r="42" ht="12.75">
      <c r="D42" s="326"/>
    </row>
    <row r="43" spans="4:9" ht="12.75">
      <c r="D43" s="326"/>
      <c r="E43" s="326"/>
      <c r="F43" s="326"/>
      <c r="G43" s="326"/>
      <c r="H43" s="326"/>
      <c r="I43" s="326"/>
    </row>
    <row r="44" spans="4:9" ht="12.75">
      <c r="D44" s="326"/>
      <c r="E44" s="326"/>
      <c r="F44" s="326"/>
      <c r="G44" s="326"/>
      <c r="H44" s="326"/>
      <c r="I44" s="326"/>
    </row>
    <row r="45" spans="4:9" ht="12.75">
      <c r="D45" s="326"/>
      <c r="E45" s="326"/>
      <c r="F45" s="326"/>
      <c r="G45" s="326"/>
      <c r="H45" s="326"/>
      <c r="I45" s="326"/>
    </row>
    <row r="46" spans="4:9" ht="12.75">
      <c r="D46" s="326"/>
      <c r="E46" s="326"/>
      <c r="F46" s="326"/>
      <c r="G46" s="326"/>
      <c r="H46" s="326"/>
      <c r="I46" s="326"/>
    </row>
    <row r="47" spans="4:9" ht="12.75">
      <c r="D47" s="326"/>
      <c r="E47" s="326"/>
      <c r="F47" s="326"/>
      <c r="G47" s="326"/>
      <c r="H47" s="326"/>
      <c r="I47" s="326"/>
    </row>
    <row r="48" spans="4:9" ht="12.75">
      <c r="D48" s="326"/>
      <c r="E48" s="326"/>
      <c r="F48" s="326"/>
      <c r="G48" s="326"/>
      <c r="H48" s="326"/>
      <c r="I48" s="326"/>
    </row>
    <row r="49" spans="4:9" ht="12.75">
      <c r="D49" s="326"/>
      <c r="E49" s="326"/>
      <c r="F49" s="326"/>
      <c r="G49" s="326"/>
      <c r="H49" s="326"/>
      <c r="I49" s="326"/>
    </row>
    <row r="50" spans="4:9" ht="12.75">
      <c r="D50" s="326"/>
      <c r="E50" s="326"/>
      <c r="F50" s="326"/>
      <c r="G50" s="326"/>
      <c r="H50" s="326"/>
      <c r="I50" s="326"/>
    </row>
    <row r="51" spans="4:9" ht="12.75">
      <c r="D51" s="326"/>
      <c r="E51" s="326"/>
      <c r="F51" s="326"/>
      <c r="G51" s="326"/>
      <c r="H51" s="326"/>
      <c r="I51" s="326"/>
    </row>
    <row r="52" spans="4:9" ht="12.75">
      <c r="D52" s="326"/>
      <c r="E52" s="326"/>
      <c r="F52" s="326"/>
      <c r="G52" s="326"/>
      <c r="H52" s="326"/>
      <c r="I52" s="326"/>
    </row>
    <row r="53" spans="4:9" ht="12.75">
      <c r="D53" s="326"/>
      <c r="E53" s="326"/>
      <c r="F53" s="326"/>
      <c r="G53" s="326"/>
      <c r="H53" s="326"/>
      <c r="I53" s="326"/>
    </row>
    <row r="54" spans="4:9" ht="12.75">
      <c r="D54" s="326"/>
      <c r="E54" s="326"/>
      <c r="F54" s="326"/>
      <c r="G54" s="326"/>
      <c r="H54" s="326"/>
      <c r="I54" s="326"/>
    </row>
    <row r="55" spans="4:9" ht="12.75">
      <c r="D55" s="326"/>
      <c r="E55" s="326"/>
      <c r="F55" s="326"/>
      <c r="G55" s="326"/>
      <c r="H55" s="326"/>
      <c r="I55" s="326"/>
    </row>
    <row r="56" spans="4:9" ht="12.75">
      <c r="D56" s="326"/>
      <c r="E56" s="326"/>
      <c r="F56" s="326"/>
      <c r="G56" s="326"/>
      <c r="H56" s="326"/>
      <c r="I56" s="326"/>
    </row>
    <row r="57" spans="4:9" ht="12.75">
      <c r="D57" s="326"/>
      <c r="E57" s="326"/>
      <c r="F57" s="326"/>
      <c r="G57" s="326"/>
      <c r="H57" s="326"/>
      <c r="I57" s="326"/>
    </row>
    <row r="58" spans="4:9" ht="12.75">
      <c r="D58" s="326"/>
      <c r="E58" s="326"/>
      <c r="F58" s="326"/>
      <c r="G58" s="326"/>
      <c r="H58" s="326"/>
      <c r="I58" s="326"/>
    </row>
    <row r="59" spans="4:9" ht="12.75">
      <c r="D59" s="326"/>
      <c r="E59" s="326"/>
      <c r="F59" s="326"/>
      <c r="G59" s="326"/>
      <c r="H59" s="326"/>
      <c r="I59" s="326"/>
    </row>
    <row r="60" spans="4:9" ht="12.75">
      <c r="D60" s="326"/>
      <c r="E60" s="326"/>
      <c r="F60" s="326"/>
      <c r="G60" s="326"/>
      <c r="H60" s="326"/>
      <c r="I60" s="326"/>
    </row>
    <row r="61" spans="4:9" ht="12.75">
      <c r="D61" s="326"/>
      <c r="E61" s="326"/>
      <c r="F61" s="326"/>
      <c r="G61" s="326"/>
      <c r="H61" s="326"/>
      <c r="I61" s="326"/>
    </row>
    <row r="62" spans="4:9" ht="12.75">
      <c r="D62" s="326"/>
      <c r="E62" s="326"/>
      <c r="F62" s="326"/>
      <c r="G62" s="326"/>
      <c r="H62" s="326"/>
      <c r="I62" s="326"/>
    </row>
    <row r="63" spans="4:9" ht="12.75">
      <c r="D63" s="326"/>
      <c r="E63" s="326"/>
      <c r="F63" s="326"/>
      <c r="G63" s="326"/>
      <c r="H63" s="326"/>
      <c r="I63" s="326"/>
    </row>
    <row r="64" spans="4:9" ht="12.75">
      <c r="D64" s="326"/>
      <c r="E64" s="326"/>
      <c r="F64" s="326"/>
      <c r="G64" s="326"/>
      <c r="H64" s="326"/>
      <c r="I64" s="326"/>
    </row>
    <row r="65" spans="4:9" ht="12.75">
      <c r="D65" s="326"/>
      <c r="E65" s="326"/>
      <c r="F65" s="326"/>
      <c r="G65" s="326"/>
      <c r="H65" s="326"/>
      <c r="I65" s="326"/>
    </row>
    <row r="66" spans="4:9" ht="12.75">
      <c r="D66" s="326"/>
      <c r="E66" s="326"/>
      <c r="F66" s="326"/>
      <c r="G66" s="326"/>
      <c r="H66" s="326"/>
      <c r="I66" s="326"/>
    </row>
    <row r="67" spans="4:9" ht="12.75">
      <c r="D67" s="326"/>
      <c r="E67" s="326"/>
      <c r="F67" s="326"/>
      <c r="G67" s="326"/>
      <c r="H67" s="326"/>
      <c r="I67" s="326"/>
    </row>
    <row r="68" spans="4:9" ht="12.75">
      <c r="D68" s="326"/>
      <c r="E68" s="326"/>
      <c r="F68" s="326"/>
      <c r="G68" s="326"/>
      <c r="H68" s="326"/>
      <c r="I68" s="326"/>
    </row>
    <row r="69" spans="4:9" ht="12.75">
      <c r="D69" s="326"/>
      <c r="E69" s="326"/>
      <c r="F69" s="326"/>
      <c r="G69" s="326"/>
      <c r="H69" s="326"/>
      <c r="I69" s="326"/>
    </row>
    <row r="70" spans="4:9" ht="12.75">
      <c r="D70" s="326"/>
      <c r="E70" s="326"/>
      <c r="F70" s="326"/>
      <c r="G70" s="326"/>
      <c r="H70" s="326"/>
      <c r="I70" s="326"/>
    </row>
    <row r="71" spans="4:9" ht="12.75">
      <c r="D71" s="326"/>
      <c r="E71" s="326"/>
      <c r="F71" s="326"/>
      <c r="G71" s="326"/>
      <c r="H71" s="326"/>
      <c r="I71" s="326"/>
    </row>
    <row r="72" spans="4:9" ht="12.75">
      <c r="D72" s="326"/>
      <c r="E72" s="326"/>
      <c r="F72" s="326"/>
      <c r="G72" s="326"/>
      <c r="H72" s="326"/>
      <c r="I72" s="326"/>
    </row>
    <row r="73" spans="4:9" ht="12.75">
      <c r="D73" s="326"/>
      <c r="E73" s="326"/>
      <c r="F73" s="326"/>
      <c r="G73" s="326"/>
      <c r="H73" s="326"/>
      <c r="I73" s="326"/>
    </row>
    <row r="74" spans="4:9" ht="12.75">
      <c r="D74" s="326"/>
      <c r="E74" s="326"/>
      <c r="F74" s="326"/>
      <c r="G74" s="326"/>
      <c r="H74" s="326"/>
      <c r="I74" s="326"/>
    </row>
    <row r="75" spans="4:9" ht="12.75">
      <c r="D75" s="326"/>
      <c r="E75" s="326"/>
      <c r="F75" s="326"/>
      <c r="G75" s="326"/>
      <c r="H75" s="326"/>
      <c r="I75" s="326"/>
    </row>
    <row r="76" spans="4:9" ht="12.75">
      <c r="D76" s="326"/>
      <c r="E76" s="326"/>
      <c r="F76" s="326"/>
      <c r="G76" s="326"/>
      <c r="H76" s="326"/>
      <c r="I76" s="326"/>
    </row>
    <row r="77" spans="4:9" ht="12.75">
      <c r="D77" s="326"/>
      <c r="E77" s="326"/>
      <c r="F77" s="326"/>
      <c r="G77" s="326"/>
      <c r="H77" s="326"/>
      <c r="I77" s="326"/>
    </row>
    <row r="78" spans="4:9" ht="12.75">
      <c r="D78" s="326"/>
      <c r="E78" s="326"/>
      <c r="F78" s="326"/>
      <c r="G78" s="326"/>
      <c r="H78" s="326"/>
      <c r="I78" s="326"/>
    </row>
  </sheetData>
  <sheetProtection/>
  <mergeCells count="4">
    <mergeCell ref="B1:D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5"/>
  <sheetViews>
    <sheetView zoomScalePageLayoutView="0" workbookViewId="0" topLeftCell="A1">
      <selection activeCell="D24" sqref="D24"/>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393" t="s">
        <v>141</v>
      </c>
      <c r="C1" s="393"/>
      <c r="D1" s="42"/>
      <c r="E1" s="42"/>
      <c r="F1" s="42"/>
      <c r="G1" s="42"/>
      <c r="H1" s="42"/>
      <c r="I1" s="42"/>
    </row>
    <row r="2" spans="2:9" ht="16.5" customHeight="1">
      <c r="B2" s="157" t="str">
        <f>Tradingname</f>
        <v>Australian Gas Networks Limited</v>
      </c>
      <c r="C2" s="158"/>
      <c r="I2" s="119"/>
    </row>
    <row r="3" spans="2:3" ht="15">
      <c r="B3" s="159" t="s">
        <v>184</v>
      </c>
      <c r="C3" s="160">
        <f>Yearending</f>
        <v>44926</v>
      </c>
    </row>
    <row r="4" spans="2:7" ht="12.75" customHeight="1">
      <c r="B4" s="41"/>
      <c r="D4" s="110"/>
      <c r="G4" s="110"/>
    </row>
    <row r="5" spans="2:4" ht="15.75">
      <c r="B5" s="394" t="s">
        <v>189</v>
      </c>
      <c r="C5" s="394"/>
      <c r="D5" s="394"/>
    </row>
    <row r="6" spans="2:9" ht="12.75">
      <c r="B6" s="45"/>
      <c r="C6" s="46"/>
      <c r="D6" s="47"/>
      <c r="E6" s="47"/>
      <c r="F6" s="47"/>
      <c r="G6" s="47"/>
      <c r="H6" s="47"/>
      <c r="I6" s="47"/>
    </row>
    <row r="7" spans="2:9" ht="21" customHeight="1">
      <c r="B7" s="52"/>
      <c r="C7" s="52"/>
      <c r="D7" s="395" t="s">
        <v>230</v>
      </c>
      <c r="E7" s="396"/>
      <c r="F7" s="397"/>
      <c r="G7" s="395" t="s">
        <v>231</v>
      </c>
      <c r="H7" s="396"/>
      <c r="I7" s="397"/>
    </row>
    <row r="8" spans="2:9" ht="51" customHeight="1">
      <c r="B8" s="51" t="s">
        <v>223</v>
      </c>
      <c r="C8" s="52" t="s">
        <v>19</v>
      </c>
      <c r="D8" s="53" t="s">
        <v>61</v>
      </c>
      <c r="E8" s="53" t="s">
        <v>62</v>
      </c>
      <c r="F8" s="53" t="s">
        <v>25</v>
      </c>
      <c r="G8" s="53" t="s">
        <v>61</v>
      </c>
      <c r="H8" s="53" t="s">
        <v>62</v>
      </c>
      <c r="I8" s="53" t="s">
        <v>25</v>
      </c>
    </row>
    <row r="9" spans="2:9" ht="15.75" customHeight="1">
      <c r="B9" s="51"/>
      <c r="C9" s="52"/>
      <c r="D9" s="55" t="s">
        <v>186</v>
      </c>
      <c r="E9" s="55" t="s">
        <v>186</v>
      </c>
      <c r="F9" s="55" t="s">
        <v>186</v>
      </c>
      <c r="G9" s="55" t="s">
        <v>186</v>
      </c>
      <c r="H9" s="55" t="s">
        <v>186</v>
      </c>
      <c r="I9" s="55" t="s">
        <v>186</v>
      </c>
    </row>
    <row r="10" spans="2:9" ht="12.75">
      <c r="B10" s="54"/>
      <c r="C10" s="108" t="s">
        <v>47</v>
      </c>
      <c r="D10" s="55"/>
      <c r="E10" s="55"/>
      <c r="F10" s="55"/>
      <c r="G10" s="55"/>
      <c r="H10" s="55"/>
      <c r="I10" s="55"/>
    </row>
    <row r="11" spans="2:9" ht="12.75">
      <c r="B11" s="266" t="s">
        <v>443</v>
      </c>
      <c r="C11" s="56" t="s">
        <v>177</v>
      </c>
      <c r="D11" s="115"/>
      <c r="E11" s="115"/>
      <c r="F11" s="117">
        <f aca="true" t="shared" si="0" ref="F11:F19">SUM(D11:E11)</f>
        <v>0</v>
      </c>
      <c r="G11" s="115"/>
      <c r="H11" s="115"/>
      <c r="I11" s="117">
        <f aca="true" t="shared" si="1" ref="I11:I19">SUM(G11:H11)</f>
        <v>0</v>
      </c>
    </row>
    <row r="12" spans="2:9" ht="12.75">
      <c r="B12" s="266" t="s">
        <v>443</v>
      </c>
      <c r="C12" s="56" t="s">
        <v>163</v>
      </c>
      <c r="D12" s="115"/>
      <c r="E12" s="115"/>
      <c r="F12" s="117">
        <f t="shared" si="0"/>
        <v>0</v>
      </c>
      <c r="G12" s="115"/>
      <c r="H12" s="115"/>
      <c r="I12" s="117">
        <f t="shared" si="1"/>
        <v>0</v>
      </c>
    </row>
    <row r="13" spans="2:9" ht="12.75">
      <c r="B13" s="266" t="s">
        <v>443</v>
      </c>
      <c r="C13" s="56" t="s">
        <v>80</v>
      </c>
      <c r="D13" s="115"/>
      <c r="E13" s="115"/>
      <c r="F13" s="117">
        <f t="shared" si="0"/>
        <v>0</v>
      </c>
      <c r="G13" s="115"/>
      <c r="H13" s="115"/>
      <c r="I13" s="117">
        <f t="shared" si="1"/>
        <v>0</v>
      </c>
    </row>
    <row r="14" spans="2:9" ht="12.75">
      <c r="B14" s="266" t="s">
        <v>443</v>
      </c>
      <c r="C14" s="56" t="s">
        <v>235</v>
      </c>
      <c r="D14" s="115"/>
      <c r="E14" s="115"/>
      <c r="F14" s="117">
        <f t="shared" si="0"/>
        <v>0</v>
      </c>
      <c r="G14" s="115"/>
      <c r="H14" s="115"/>
      <c r="I14" s="117">
        <f t="shared" si="1"/>
        <v>0</v>
      </c>
    </row>
    <row r="15" spans="2:9" ht="25.5">
      <c r="B15" s="266" t="s">
        <v>443</v>
      </c>
      <c r="C15" s="139" t="s">
        <v>236</v>
      </c>
      <c r="D15" s="115"/>
      <c r="E15" s="115"/>
      <c r="F15" s="117">
        <f t="shared" si="0"/>
        <v>0</v>
      </c>
      <c r="G15" s="115"/>
      <c r="H15" s="115"/>
      <c r="I15" s="117">
        <f t="shared" si="1"/>
        <v>0</v>
      </c>
    </row>
    <row r="16" spans="2:9" ht="12.75">
      <c r="B16" s="266" t="s">
        <v>443</v>
      </c>
      <c r="C16" s="56" t="s">
        <v>178</v>
      </c>
      <c r="D16" s="115"/>
      <c r="E16" s="115"/>
      <c r="F16" s="117">
        <f t="shared" si="0"/>
        <v>0</v>
      </c>
      <c r="G16" s="115"/>
      <c r="H16" s="115"/>
      <c r="I16" s="117">
        <f t="shared" si="1"/>
        <v>0</v>
      </c>
    </row>
    <row r="17" spans="2:9" ht="12.75">
      <c r="B17" s="266" t="s">
        <v>443</v>
      </c>
      <c r="C17" s="56" t="s">
        <v>81</v>
      </c>
      <c r="D17" s="115"/>
      <c r="E17" s="115"/>
      <c r="F17" s="117">
        <f t="shared" si="0"/>
        <v>0</v>
      </c>
      <c r="G17" s="115"/>
      <c r="H17" s="115"/>
      <c r="I17" s="117">
        <f t="shared" si="1"/>
        <v>0</v>
      </c>
    </row>
    <row r="18" spans="2:9" ht="12.75">
      <c r="B18" s="266" t="s">
        <v>443</v>
      </c>
      <c r="C18" s="56" t="s">
        <v>82</v>
      </c>
      <c r="D18" s="115"/>
      <c r="E18" s="115"/>
      <c r="F18" s="117">
        <f t="shared" si="0"/>
        <v>0</v>
      </c>
      <c r="G18" s="115"/>
      <c r="H18" s="115"/>
      <c r="I18" s="117">
        <f t="shared" si="1"/>
        <v>0</v>
      </c>
    </row>
    <row r="19" spans="2:9" ht="12.75">
      <c r="B19" s="266" t="s">
        <v>443</v>
      </c>
      <c r="C19" s="56" t="s">
        <v>48</v>
      </c>
      <c r="D19" s="292">
        <v>73471364.98</v>
      </c>
      <c r="E19" s="115"/>
      <c r="F19" s="254">
        <f t="shared" si="0"/>
        <v>73471364.98</v>
      </c>
      <c r="G19" s="252">
        <v>74018793.39</v>
      </c>
      <c r="H19" s="115"/>
      <c r="I19" s="254">
        <f t="shared" si="1"/>
        <v>74018793.39</v>
      </c>
    </row>
    <row r="20" spans="2:9" ht="12.75">
      <c r="B20" s="266" t="s">
        <v>443</v>
      </c>
      <c r="C20" s="57" t="s">
        <v>49</v>
      </c>
      <c r="D20" s="293">
        <v>0</v>
      </c>
      <c r="E20" s="117">
        <f>'2.2 Revenue contributions '!D15</f>
        <v>0</v>
      </c>
      <c r="F20" s="254">
        <f>'2.2 Revenue contributions '!E15</f>
        <v>0</v>
      </c>
      <c r="G20" s="252">
        <v>0</v>
      </c>
      <c r="H20" s="115"/>
      <c r="I20" s="254">
        <f>SUM(G20:H20)</f>
        <v>0</v>
      </c>
    </row>
    <row r="21" spans="2:9" ht="12.75">
      <c r="B21" s="266" t="s">
        <v>443</v>
      </c>
      <c r="C21" s="57" t="s">
        <v>264</v>
      </c>
      <c r="D21" s="294">
        <v>0</v>
      </c>
      <c r="E21" s="117">
        <f>'2.2 Revenue contributions '!D27</f>
        <v>0</v>
      </c>
      <c r="F21" s="254">
        <f>'2.2 Revenue contributions '!D27</f>
        <v>0</v>
      </c>
      <c r="G21" s="252">
        <v>0</v>
      </c>
      <c r="H21" s="115"/>
      <c r="I21" s="254">
        <f>SUM(G21:H21)</f>
        <v>0</v>
      </c>
    </row>
    <row r="22" spans="2:9" ht="12.75">
      <c r="B22" s="266" t="s">
        <v>443</v>
      </c>
      <c r="C22" s="56" t="s">
        <v>20</v>
      </c>
      <c r="D22" s="295"/>
      <c r="E22" s="115"/>
      <c r="F22" s="254">
        <f>SUM(D22:E22)</f>
        <v>0</v>
      </c>
      <c r="G22" s="252"/>
      <c r="H22" s="115"/>
      <c r="I22" s="117">
        <f>SUM(G22:H22)</f>
        <v>0</v>
      </c>
    </row>
    <row r="23" spans="2:9" ht="12.75">
      <c r="B23" s="266" t="s">
        <v>443</v>
      </c>
      <c r="C23" s="56" t="s">
        <v>51</v>
      </c>
      <c r="D23" s="292">
        <v>534091</v>
      </c>
      <c r="E23" s="115"/>
      <c r="F23" s="254">
        <f>SUM(D23:E23)</f>
        <v>534091</v>
      </c>
      <c r="G23" s="252">
        <v>495688</v>
      </c>
      <c r="H23" s="115"/>
      <c r="I23" s="117">
        <f>SUM(G23:H23)</f>
        <v>495688</v>
      </c>
    </row>
    <row r="24" spans="2:9" ht="12.75">
      <c r="B24" s="60"/>
      <c r="C24" s="58" t="s">
        <v>50</v>
      </c>
      <c r="D24" s="253">
        <f>SUM(D11:D23)</f>
        <v>74005455.98</v>
      </c>
      <c r="E24" s="116">
        <f>SUM(E11:E23)</f>
        <v>0</v>
      </c>
      <c r="F24" s="253">
        <f>SUM(F11:F23)</f>
        <v>74005455.98</v>
      </c>
      <c r="G24" s="253">
        <f>SUM(G11:G23)</f>
        <v>74514481.39</v>
      </c>
      <c r="H24" s="253">
        <f>SUM(H11:H23)</f>
        <v>0</v>
      </c>
      <c r="I24" s="253">
        <f>SUM(I19:I23)</f>
        <v>74514481.39</v>
      </c>
    </row>
    <row r="25" ht="12.75">
      <c r="B25" s="110"/>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C9" sqref="C9"/>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199</v>
      </c>
      <c r="C1" s="42"/>
      <c r="D1" s="42"/>
      <c r="E1" s="42"/>
      <c r="F1" s="42"/>
      <c r="G1" s="42"/>
      <c r="H1" s="42"/>
      <c r="I1" s="42"/>
      <c r="J1" s="42"/>
    </row>
    <row r="2" spans="2:3" ht="15.75" customHeight="1">
      <c r="B2" s="157" t="str">
        <f>Tradingname</f>
        <v>Australian Gas Networks Limited</v>
      </c>
      <c r="C2" s="158"/>
    </row>
    <row r="3" spans="2:6" ht="18.75" customHeight="1">
      <c r="B3" s="159" t="s">
        <v>184</v>
      </c>
      <c r="C3" s="160">
        <f>Yearending</f>
        <v>44926</v>
      </c>
      <c r="F3" s="119"/>
    </row>
    <row r="4" ht="20.25">
      <c r="B4" s="41"/>
    </row>
    <row r="5" ht="15.75">
      <c r="B5" s="64" t="s">
        <v>190</v>
      </c>
    </row>
    <row r="6" spans="2:10" ht="12.75">
      <c r="B6" s="45"/>
      <c r="C6" s="48"/>
      <c r="D6" s="48"/>
      <c r="E6" s="48"/>
      <c r="F6" s="48"/>
      <c r="G6" s="49"/>
      <c r="H6" s="65"/>
      <c r="I6" s="50"/>
      <c r="J6" s="50"/>
    </row>
    <row r="7" spans="2:5" ht="39" customHeight="1">
      <c r="B7" s="105" t="s">
        <v>19</v>
      </c>
      <c r="C7" s="53" t="s">
        <v>61</v>
      </c>
      <c r="D7" s="53" t="s">
        <v>62</v>
      </c>
      <c r="E7" s="53" t="s">
        <v>25</v>
      </c>
    </row>
    <row r="8" spans="2:5" ht="13.5" customHeight="1">
      <c r="B8" s="51"/>
      <c r="C8" s="55" t="s">
        <v>186</v>
      </c>
      <c r="D8" s="55" t="s">
        <v>186</v>
      </c>
      <c r="E8" s="55" t="s">
        <v>186</v>
      </c>
    </row>
    <row r="9" spans="2:6" ht="13.5" customHeight="1">
      <c r="B9" s="330" t="s">
        <v>496</v>
      </c>
      <c r="C9" s="331">
        <v>0</v>
      </c>
      <c r="D9" s="242"/>
      <c r="E9" s="116">
        <f aca="true" t="shared" si="0" ref="E9:E14">SUM(C9:D9)</f>
        <v>0</v>
      </c>
      <c r="F9" s="50"/>
    </row>
    <row r="10" spans="2:6" ht="13.5" customHeight="1">
      <c r="B10" s="118"/>
      <c r="C10" s="242"/>
      <c r="D10" s="242"/>
      <c r="E10" s="116">
        <f t="shared" si="0"/>
        <v>0</v>
      </c>
      <c r="F10" s="50"/>
    </row>
    <row r="11" spans="2:6" ht="13.5" customHeight="1">
      <c r="B11" s="118"/>
      <c r="C11" s="242"/>
      <c r="D11" s="242"/>
      <c r="E11" s="116">
        <f t="shared" si="0"/>
        <v>0</v>
      </c>
      <c r="F11" s="50"/>
    </row>
    <row r="12" spans="2:6" ht="13.5" customHeight="1">
      <c r="B12" s="118"/>
      <c r="C12" s="242"/>
      <c r="D12" s="242"/>
      <c r="E12" s="116">
        <f t="shared" si="0"/>
        <v>0</v>
      </c>
      <c r="F12" s="50"/>
    </row>
    <row r="13" spans="2:6" ht="13.5" customHeight="1">
      <c r="B13" s="118"/>
      <c r="C13" s="242"/>
      <c r="D13" s="242"/>
      <c r="E13" s="116">
        <f t="shared" si="0"/>
        <v>0</v>
      </c>
      <c r="F13" s="50"/>
    </row>
    <row r="14" spans="2:6" ht="13.5" customHeight="1">
      <c r="B14" s="118"/>
      <c r="C14" s="242"/>
      <c r="D14" s="242"/>
      <c r="E14" s="116">
        <f t="shared" si="0"/>
        <v>0</v>
      </c>
      <c r="F14" s="50"/>
    </row>
    <row r="15" spans="2:5" ht="12.75">
      <c r="B15" s="165" t="s">
        <v>25</v>
      </c>
      <c r="C15" s="116">
        <f>SUM(C9:C14)</f>
        <v>0</v>
      </c>
      <c r="D15" s="116">
        <f>SUM(D9:D14)</f>
        <v>0</v>
      </c>
      <c r="E15" s="116">
        <f>SUM(E9:E14)</f>
        <v>0</v>
      </c>
    </row>
    <row r="17" ht="15.75">
      <c r="B17" s="64" t="s">
        <v>191</v>
      </c>
    </row>
    <row r="18" spans="2:6" ht="19.5" customHeight="1">
      <c r="B18" s="45"/>
      <c r="C18" s="48"/>
      <c r="D18" s="48"/>
      <c r="E18" s="48"/>
      <c r="F18" s="48"/>
    </row>
    <row r="19" spans="2:5" ht="24.75" customHeight="1">
      <c r="B19" s="51" t="s">
        <v>19</v>
      </c>
      <c r="C19" s="53" t="s">
        <v>61</v>
      </c>
      <c r="D19" s="53" t="s">
        <v>62</v>
      </c>
      <c r="E19" s="53" t="s">
        <v>25</v>
      </c>
    </row>
    <row r="20" spans="2:5" ht="12.75">
      <c r="B20" s="51"/>
      <c r="C20" s="55" t="s">
        <v>186</v>
      </c>
      <c r="D20" s="55" t="s">
        <v>186</v>
      </c>
      <c r="E20" s="55" t="s">
        <v>186</v>
      </c>
    </row>
    <row r="21" spans="2:5" ht="12.75">
      <c r="B21" s="118"/>
      <c r="C21" s="242"/>
      <c r="D21" s="242"/>
      <c r="E21" s="116">
        <f aca="true" t="shared" si="1" ref="E21:E26">SUM(C21:D21)</f>
        <v>0</v>
      </c>
    </row>
    <row r="22" spans="2:5" ht="12.75">
      <c r="B22" s="118"/>
      <c r="C22" s="242"/>
      <c r="D22" s="242"/>
      <c r="E22" s="116">
        <f t="shared" si="1"/>
        <v>0</v>
      </c>
    </row>
    <row r="23" spans="2:5" ht="12.75">
      <c r="B23" s="118"/>
      <c r="C23" s="242"/>
      <c r="D23" s="242"/>
      <c r="E23" s="116">
        <f t="shared" si="1"/>
        <v>0</v>
      </c>
    </row>
    <row r="24" spans="2:5" ht="12.75">
      <c r="B24" s="118"/>
      <c r="C24" s="242"/>
      <c r="D24" s="242"/>
      <c r="E24" s="116">
        <f t="shared" si="1"/>
        <v>0</v>
      </c>
    </row>
    <row r="25" spans="2:5" ht="12.75">
      <c r="B25" s="118"/>
      <c r="C25" s="242"/>
      <c r="D25" s="242"/>
      <c r="E25" s="116">
        <f t="shared" si="1"/>
        <v>0</v>
      </c>
    </row>
    <row r="26" spans="2:5" ht="12.75">
      <c r="B26" s="118"/>
      <c r="C26" s="242"/>
      <c r="D26" s="242"/>
      <c r="E26" s="116">
        <f t="shared" si="1"/>
        <v>0</v>
      </c>
    </row>
    <row r="27" spans="2:5" ht="12.75">
      <c r="B27" s="165" t="s">
        <v>25</v>
      </c>
      <c r="C27" s="243">
        <f>SUM(C21:C26)</f>
        <v>0</v>
      </c>
      <c r="D27" s="243">
        <f>SUM(D21:D26)</f>
        <v>0</v>
      </c>
      <c r="E27" s="243">
        <f>SUM(E21:E26)</f>
        <v>0</v>
      </c>
    </row>
  </sheetData>
  <sheetProtection/>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D20" sqref="D20"/>
    </sheetView>
  </sheetViews>
  <sheetFormatPr defaultColWidth="9.140625" defaultRowHeight="12.75"/>
  <cols>
    <col min="1" max="1" width="12.421875" style="84" customWidth="1"/>
    <col min="2" max="2" width="18.57421875" style="84" customWidth="1"/>
    <col min="3" max="3" width="42.28125" style="84" customWidth="1"/>
    <col min="4" max="4" width="26.8515625" style="84" customWidth="1"/>
    <col min="5" max="5" width="22.57421875" style="84" customWidth="1"/>
    <col min="6" max="6" width="20.57421875" style="84" customWidth="1"/>
    <col min="7" max="8" width="22.57421875" style="84" customWidth="1"/>
    <col min="9" max="9" width="9.421875" style="84" customWidth="1"/>
    <col min="10" max="10" width="25.140625" style="84" customWidth="1"/>
    <col min="11" max="16384" width="9.140625" style="84" customWidth="1"/>
  </cols>
  <sheetData>
    <row r="1" spans="2:8" ht="20.25">
      <c r="B1" s="398" t="s">
        <v>194</v>
      </c>
      <c r="C1" s="398"/>
      <c r="D1" s="42"/>
      <c r="E1" s="42"/>
      <c r="F1" s="42"/>
      <c r="G1" s="42"/>
      <c r="H1" s="42"/>
    </row>
    <row r="2" spans="2:8" ht="17.25" customHeight="1">
      <c r="B2" s="157" t="str">
        <f>Tradingname</f>
        <v>Australian Gas Networks Limited</v>
      </c>
      <c r="C2" s="158"/>
      <c r="D2" s="85"/>
      <c r="E2" s="85"/>
      <c r="G2" s="85"/>
      <c r="H2" s="85"/>
    </row>
    <row r="3" spans="2:3" ht="17.25" customHeight="1">
      <c r="B3" s="159" t="s">
        <v>184</v>
      </c>
      <c r="C3" s="160">
        <f>Yearending</f>
        <v>44926</v>
      </c>
    </row>
    <row r="4" ht="14.25" customHeight="1">
      <c r="B4" s="41"/>
    </row>
    <row r="5" spans="2:8" ht="15.75">
      <c r="B5" s="88" t="s">
        <v>195</v>
      </c>
      <c r="C5" s="86"/>
      <c r="D5" s="86"/>
      <c r="E5" s="86"/>
      <c r="F5" s="87"/>
      <c r="G5" s="86"/>
      <c r="H5" s="86"/>
    </row>
    <row r="6" spans="2:8" ht="15.75">
      <c r="B6" s="88"/>
      <c r="C6" s="86"/>
      <c r="D6" s="86"/>
      <c r="E6" s="86"/>
      <c r="F6" s="87"/>
      <c r="G6" s="86"/>
      <c r="H6" s="86"/>
    </row>
    <row r="7" spans="2:8" ht="40.5" customHeight="1">
      <c r="B7" s="89" t="s">
        <v>223</v>
      </c>
      <c r="C7" s="89" t="s">
        <v>192</v>
      </c>
      <c r="D7" s="168" t="s">
        <v>217</v>
      </c>
      <c r="E7" s="168" t="s">
        <v>219</v>
      </c>
      <c r="F7" s="168" t="s">
        <v>73</v>
      </c>
      <c r="G7" s="168" t="s">
        <v>90</v>
      </c>
      <c r="H7" s="168" t="s">
        <v>91</v>
      </c>
    </row>
    <row r="8" spans="2:8" ht="12.75">
      <c r="B8" s="91"/>
      <c r="C8" s="89" t="s">
        <v>193</v>
      </c>
      <c r="D8" s="169" t="s">
        <v>186</v>
      </c>
      <c r="E8" s="169" t="s">
        <v>186</v>
      </c>
      <c r="F8" s="169"/>
      <c r="G8" s="169" t="s">
        <v>186</v>
      </c>
      <c r="H8" s="169" t="s">
        <v>186</v>
      </c>
    </row>
    <row r="9" spans="2:8" ht="12.75">
      <c r="B9" s="267" t="s">
        <v>444</v>
      </c>
      <c r="C9" s="170"/>
      <c r="D9" s="94"/>
      <c r="E9" s="94"/>
      <c r="F9" s="166"/>
      <c r="G9" s="167">
        <f>D9*F9</f>
        <v>0</v>
      </c>
      <c r="H9" s="167">
        <f>E9*F9</f>
        <v>0</v>
      </c>
    </row>
    <row r="10" spans="2:8" ht="12.75">
      <c r="B10" s="170"/>
      <c r="C10" s="170"/>
      <c r="D10" s="94"/>
      <c r="E10" s="94"/>
      <c r="F10" s="166"/>
      <c r="G10" s="167">
        <f>D10*F10</f>
        <v>0</v>
      </c>
      <c r="H10" s="167">
        <f aca="true" t="shared" si="0" ref="H10:H35">E10*F10</f>
        <v>0</v>
      </c>
    </row>
    <row r="11" spans="2:8" ht="12.75">
      <c r="B11" s="170"/>
      <c r="C11" s="170"/>
      <c r="D11" s="94"/>
      <c r="E11" s="94"/>
      <c r="F11" s="166"/>
      <c r="G11" s="167">
        <f aca="true" t="shared" si="1" ref="G11:G35">D11*F11</f>
        <v>0</v>
      </c>
      <c r="H11" s="167">
        <f t="shared" si="0"/>
        <v>0</v>
      </c>
    </row>
    <row r="12" spans="2:8" ht="12.75">
      <c r="B12" s="170"/>
      <c r="C12" s="170"/>
      <c r="D12" s="94"/>
      <c r="E12" s="94"/>
      <c r="F12" s="166"/>
      <c r="G12" s="167">
        <f t="shared" si="1"/>
        <v>0</v>
      </c>
      <c r="H12" s="167">
        <f t="shared" si="0"/>
        <v>0</v>
      </c>
    </row>
    <row r="13" spans="2:8" ht="12.75">
      <c r="B13" s="170"/>
      <c r="C13" s="170"/>
      <c r="D13" s="94"/>
      <c r="E13" s="94"/>
      <c r="F13" s="166"/>
      <c r="G13" s="167">
        <f t="shared" si="1"/>
        <v>0</v>
      </c>
      <c r="H13" s="167">
        <f t="shared" si="0"/>
        <v>0</v>
      </c>
    </row>
    <row r="14" spans="2:8" ht="12.75">
      <c r="B14" s="170"/>
      <c r="C14" s="170"/>
      <c r="D14" s="94"/>
      <c r="E14" s="94"/>
      <c r="F14" s="166"/>
      <c r="G14" s="167">
        <f t="shared" si="1"/>
        <v>0</v>
      </c>
      <c r="H14" s="167">
        <f t="shared" si="0"/>
        <v>0</v>
      </c>
    </row>
    <row r="15" spans="2:8" ht="12.75">
      <c r="B15" s="170"/>
      <c r="C15" s="170"/>
      <c r="D15" s="94"/>
      <c r="E15" s="94"/>
      <c r="F15" s="166"/>
      <c r="G15" s="167">
        <f t="shared" si="1"/>
        <v>0</v>
      </c>
      <c r="H15" s="167">
        <f t="shared" si="0"/>
        <v>0</v>
      </c>
    </row>
    <row r="16" spans="2:8" ht="12.75">
      <c r="B16" s="170"/>
      <c r="C16" s="170"/>
      <c r="D16" s="94"/>
      <c r="E16" s="94"/>
      <c r="F16" s="166"/>
      <c r="G16" s="167">
        <f t="shared" si="1"/>
        <v>0</v>
      </c>
      <c r="H16" s="167">
        <f t="shared" si="0"/>
        <v>0</v>
      </c>
    </row>
    <row r="17" spans="2:8" ht="12.75">
      <c r="B17" s="170"/>
      <c r="C17" s="170"/>
      <c r="D17" s="94"/>
      <c r="E17" s="94"/>
      <c r="F17" s="166"/>
      <c r="G17" s="167">
        <f t="shared" si="1"/>
        <v>0</v>
      </c>
      <c r="H17" s="167">
        <f t="shared" si="0"/>
        <v>0</v>
      </c>
    </row>
    <row r="18" spans="2:8" ht="12.75">
      <c r="B18" s="170"/>
      <c r="C18" s="170"/>
      <c r="D18" s="94"/>
      <c r="E18" s="94"/>
      <c r="F18" s="166"/>
      <c r="G18" s="167">
        <f t="shared" si="1"/>
        <v>0</v>
      </c>
      <c r="H18" s="167">
        <f t="shared" si="0"/>
        <v>0</v>
      </c>
    </row>
    <row r="19" spans="2:8" ht="12.75">
      <c r="B19" s="170"/>
      <c r="C19" s="170"/>
      <c r="D19" s="94"/>
      <c r="E19" s="94"/>
      <c r="F19" s="166"/>
      <c r="G19" s="167">
        <f t="shared" si="1"/>
        <v>0</v>
      </c>
      <c r="H19" s="167">
        <f t="shared" si="0"/>
        <v>0</v>
      </c>
    </row>
    <row r="20" spans="2:8" ht="12.75">
      <c r="B20" s="170"/>
      <c r="C20" s="170"/>
      <c r="D20" s="94"/>
      <c r="E20" s="94"/>
      <c r="F20" s="166"/>
      <c r="G20" s="167">
        <f t="shared" si="1"/>
        <v>0</v>
      </c>
      <c r="H20" s="167">
        <f t="shared" si="0"/>
        <v>0</v>
      </c>
    </row>
    <row r="21" spans="2:8" ht="12.75">
      <c r="B21" s="170"/>
      <c r="C21" s="170"/>
      <c r="D21" s="94"/>
      <c r="E21" s="94"/>
      <c r="F21" s="166"/>
      <c r="G21" s="167">
        <f t="shared" si="1"/>
        <v>0</v>
      </c>
      <c r="H21" s="167">
        <f t="shared" si="0"/>
        <v>0</v>
      </c>
    </row>
    <row r="22" spans="2:8" ht="12.75">
      <c r="B22" s="170"/>
      <c r="C22" s="170"/>
      <c r="D22" s="94"/>
      <c r="E22" s="94"/>
      <c r="F22" s="166"/>
      <c r="G22" s="167">
        <f t="shared" si="1"/>
        <v>0</v>
      </c>
      <c r="H22" s="167">
        <f t="shared" si="0"/>
        <v>0</v>
      </c>
    </row>
    <row r="23" spans="2:8" ht="12.75">
      <c r="B23" s="170"/>
      <c r="C23" s="170"/>
      <c r="D23" s="94"/>
      <c r="E23" s="94"/>
      <c r="F23" s="166"/>
      <c r="G23" s="167">
        <f t="shared" si="1"/>
        <v>0</v>
      </c>
      <c r="H23" s="167">
        <f t="shared" si="0"/>
        <v>0</v>
      </c>
    </row>
    <row r="24" spans="2:8" ht="12.75">
      <c r="B24" s="170"/>
      <c r="C24" s="170"/>
      <c r="D24" s="94"/>
      <c r="E24" s="94"/>
      <c r="F24" s="166"/>
      <c r="G24" s="167">
        <f t="shared" si="1"/>
        <v>0</v>
      </c>
      <c r="H24" s="167">
        <f t="shared" si="0"/>
        <v>0</v>
      </c>
    </row>
    <row r="25" spans="2:8" ht="12.75">
      <c r="B25" s="170"/>
      <c r="C25" s="170"/>
      <c r="D25" s="94"/>
      <c r="E25" s="94"/>
      <c r="F25" s="166"/>
      <c r="G25" s="167">
        <f t="shared" si="1"/>
        <v>0</v>
      </c>
      <c r="H25" s="167">
        <f t="shared" si="0"/>
        <v>0</v>
      </c>
    </row>
    <row r="26" spans="2:8" ht="12.75">
      <c r="B26" s="170"/>
      <c r="C26" s="170"/>
      <c r="D26" s="94"/>
      <c r="E26" s="94"/>
      <c r="F26" s="166"/>
      <c r="G26" s="167">
        <f t="shared" si="1"/>
        <v>0</v>
      </c>
      <c r="H26" s="167">
        <f t="shared" si="0"/>
        <v>0</v>
      </c>
    </row>
    <row r="27" spans="2:8" ht="12.75">
      <c r="B27" s="170"/>
      <c r="C27" s="170"/>
      <c r="D27" s="94"/>
      <c r="E27" s="94"/>
      <c r="F27" s="166"/>
      <c r="G27" s="167">
        <f t="shared" si="1"/>
        <v>0</v>
      </c>
      <c r="H27" s="167">
        <f t="shared" si="0"/>
        <v>0</v>
      </c>
    </row>
    <row r="28" spans="2:8" ht="12.75">
      <c r="B28" s="170"/>
      <c r="C28" s="170"/>
      <c r="D28" s="94"/>
      <c r="E28" s="94"/>
      <c r="F28" s="166"/>
      <c r="G28" s="167">
        <f t="shared" si="1"/>
        <v>0</v>
      </c>
      <c r="H28" s="167">
        <f t="shared" si="0"/>
        <v>0</v>
      </c>
    </row>
    <row r="29" spans="2:8" ht="12.75">
      <c r="B29" s="170"/>
      <c r="C29" s="170"/>
      <c r="D29" s="94"/>
      <c r="E29" s="94"/>
      <c r="F29" s="166"/>
      <c r="G29" s="167">
        <f t="shared" si="1"/>
        <v>0</v>
      </c>
      <c r="H29" s="167">
        <f t="shared" si="0"/>
        <v>0</v>
      </c>
    </row>
    <row r="30" spans="2:8" ht="12.75">
      <c r="B30" s="170"/>
      <c r="C30" s="170"/>
      <c r="D30" s="94"/>
      <c r="E30" s="94"/>
      <c r="F30" s="166"/>
      <c r="G30" s="167">
        <f t="shared" si="1"/>
        <v>0</v>
      </c>
      <c r="H30" s="167">
        <f>E30*F30</f>
        <v>0</v>
      </c>
    </row>
    <row r="31" spans="2:8" ht="12.75">
      <c r="B31" s="170"/>
      <c r="C31" s="170"/>
      <c r="D31" s="94"/>
      <c r="E31" s="94"/>
      <c r="F31" s="166"/>
      <c r="G31" s="167">
        <f t="shared" si="1"/>
        <v>0</v>
      </c>
      <c r="H31" s="167">
        <f t="shared" si="0"/>
        <v>0</v>
      </c>
    </row>
    <row r="32" spans="2:8" ht="12.75">
      <c r="B32" s="170"/>
      <c r="C32" s="170"/>
      <c r="D32" s="94"/>
      <c r="E32" s="94"/>
      <c r="F32" s="166"/>
      <c r="G32" s="167">
        <f t="shared" si="1"/>
        <v>0</v>
      </c>
      <c r="H32" s="167">
        <f t="shared" si="0"/>
        <v>0</v>
      </c>
    </row>
    <row r="33" spans="2:8" ht="12.75">
      <c r="B33" s="170"/>
      <c r="C33" s="170"/>
      <c r="D33" s="94"/>
      <c r="E33" s="94"/>
      <c r="F33" s="166"/>
      <c r="G33" s="167">
        <f t="shared" si="1"/>
        <v>0</v>
      </c>
      <c r="H33" s="167">
        <f t="shared" si="0"/>
        <v>0</v>
      </c>
    </row>
    <row r="34" spans="2:8" ht="12.75">
      <c r="B34" s="170"/>
      <c r="C34" s="170"/>
      <c r="D34" s="94"/>
      <c r="E34" s="94"/>
      <c r="F34" s="166"/>
      <c r="G34" s="167">
        <f t="shared" si="1"/>
        <v>0</v>
      </c>
      <c r="H34" s="167">
        <f t="shared" si="0"/>
        <v>0</v>
      </c>
    </row>
    <row r="35" spans="2:8" ht="12.75">
      <c r="B35" s="170"/>
      <c r="C35" s="170"/>
      <c r="D35" s="94"/>
      <c r="E35" s="94"/>
      <c r="F35" s="166"/>
      <c r="G35" s="167">
        <f t="shared" si="1"/>
        <v>0</v>
      </c>
      <c r="H35" s="167">
        <f t="shared" si="0"/>
        <v>0</v>
      </c>
    </row>
    <row r="36" spans="2:8" ht="12.75">
      <c r="B36" s="165"/>
      <c r="C36" s="165" t="s">
        <v>25</v>
      </c>
      <c r="D36" s="117">
        <f>SUM(D9:D35)</f>
        <v>0</v>
      </c>
      <c r="E36" s="117">
        <f>SUM(E9:E35)</f>
        <v>0</v>
      </c>
      <c r="F36" s="165"/>
      <c r="G36" s="167">
        <f>SUM(G9:G35)</f>
        <v>0</v>
      </c>
      <c r="H36" s="167">
        <f>SUM(H9:H35)</f>
        <v>0</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selection activeCell="H23" sqref="H23"/>
    </sheetView>
  </sheetViews>
  <sheetFormatPr defaultColWidth="9.140625" defaultRowHeight="12.75"/>
  <cols>
    <col min="1" max="1" width="11.28125" style="84" customWidth="1"/>
    <col min="2" max="2" width="21.00390625" style="84" customWidth="1"/>
    <col min="3" max="3" width="30.00390625" style="84" customWidth="1"/>
    <col min="4" max="4" width="26.7109375" style="84" customWidth="1"/>
    <col min="5" max="5" width="23.57421875" style="84" customWidth="1"/>
    <col min="6" max="6" width="22.57421875" style="84" customWidth="1"/>
    <col min="7" max="7" width="20.57421875" style="84" customWidth="1"/>
    <col min="8" max="9" width="22.57421875" style="84" customWidth="1"/>
    <col min="10" max="10" width="9.421875" style="84" customWidth="1"/>
    <col min="11" max="11" width="25.140625" style="84" customWidth="1"/>
    <col min="12" max="16384" width="9.140625" style="84" customWidth="1"/>
  </cols>
  <sheetData>
    <row r="1" spans="2:9" ht="20.25">
      <c r="B1" s="398" t="s">
        <v>164</v>
      </c>
      <c r="C1" s="398"/>
      <c r="D1" s="42"/>
      <c r="E1" s="42"/>
      <c r="F1" s="42"/>
      <c r="G1" s="42"/>
      <c r="H1" s="42"/>
      <c r="I1" s="42"/>
    </row>
    <row r="2" spans="2:9" ht="16.5" customHeight="1">
      <c r="B2" s="157" t="str">
        <f>Tradingname</f>
        <v>Australian Gas Networks Limited</v>
      </c>
      <c r="C2" s="158"/>
      <c r="D2" s="85"/>
      <c r="E2" s="85"/>
      <c r="F2" s="85"/>
      <c r="H2" s="85"/>
      <c r="I2" s="85"/>
    </row>
    <row r="3" spans="2:3" ht="15">
      <c r="B3" s="159" t="s">
        <v>184</v>
      </c>
      <c r="C3" s="160">
        <f>Yearending</f>
        <v>44926</v>
      </c>
    </row>
    <row r="4" spans="2:5" ht="20.25">
      <c r="B4" s="41"/>
      <c r="E4" s="172"/>
    </row>
    <row r="5" spans="2:9" ht="15.75">
      <c r="B5" s="88" t="s">
        <v>196</v>
      </c>
      <c r="C5" s="86"/>
      <c r="D5" s="86"/>
      <c r="E5" s="86"/>
      <c r="F5" s="86"/>
      <c r="G5" s="87"/>
      <c r="H5" s="86"/>
      <c r="I5" s="86"/>
    </row>
    <row r="6" spans="2:9" ht="15.75">
      <c r="B6" s="88"/>
      <c r="C6" s="86"/>
      <c r="D6" s="86"/>
      <c r="E6" s="86"/>
      <c r="F6" s="86"/>
      <c r="G6" s="87"/>
      <c r="H6" s="86"/>
      <c r="I6" s="86"/>
    </row>
    <row r="7" spans="2:9" ht="40.5" customHeight="1">
      <c r="B7" s="89" t="s">
        <v>223</v>
      </c>
      <c r="C7" s="89" t="s">
        <v>19</v>
      </c>
      <c r="D7" s="171" t="s">
        <v>74</v>
      </c>
      <c r="E7" s="168" t="s">
        <v>218</v>
      </c>
      <c r="F7" s="168" t="s">
        <v>220</v>
      </c>
      <c r="G7" s="168" t="s">
        <v>73</v>
      </c>
      <c r="H7" s="168" t="s">
        <v>90</v>
      </c>
      <c r="I7" s="168" t="s">
        <v>91</v>
      </c>
    </row>
    <row r="8" spans="2:9" ht="12.75">
      <c r="B8" s="91"/>
      <c r="C8" s="91" t="s">
        <v>197</v>
      </c>
      <c r="D8" s="109"/>
      <c r="E8" s="169" t="s">
        <v>186</v>
      </c>
      <c r="F8" s="169" t="s">
        <v>186</v>
      </c>
      <c r="G8" s="169"/>
      <c r="H8" s="169" t="s">
        <v>186</v>
      </c>
      <c r="I8" s="169" t="s">
        <v>186</v>
      </c>
    </row>
    <row r="9" spans="2:9" ht="12.75">
      <c r="B9" s="267" t="s">
        <v>445</v>
      </c>
      <c r="C9" s="59" t="s">
        <v>57</v>
      </c>
      <c r="D9" s="170"/>
      <c r="E9" s="258">
        <v>-735809.814568917</v>
      </c>
      <c r="F9" s="258"/>
      <c r="G9" s="349">
        <v>0.999989138090977</v>
      </c>
      <c r="H9" s="260">
        <f>E9*G9</f>
        <v>-735801.822269653</v>
      </c>
      <c r="I9" s="260">
        <f>F9*G9</f>
        <v>0</v>
      </c>
    </row>
    <row r="10" spans="2:9" ht="25.5">
      <c r="B10" s="267" t="s">
        <v>445</v>
      </c>
      <c r="C10" s="59" t="s">
        <v>67</v>
      </c>
      <c r="D10" s="170"/>
      <c r="E10" s="258">
        <v>-170556.41030642585</v>
      </c>
      <c r="F10" s="258"/>
      <c r="G10" s="255">
        <v>0.9873336822928175</v>
      </c>
      <c r="H10" s="260">
        <f aca="true" t="shared" si="0" ref="H10:H35">E10*G10</f>
        <v>-168396.08862648808</v>
      </c>
      <c r="I10" s="260">
        <f aca="true" t="shared" si="1" ref="I10:I35">F10*G10</f>
        <v>0</v>
      </c>
    </row>
    <row r="11" spans="2:9" ht="12.75">
      <c r="B11" s="267" t="s">
        <v>445</v>
      </c>
      <c r="C11" s="181" t="s">
        <v>58</v>
      </c>
      <c r="D11" s="170"/>
      <c r="E11" s="258"/>
      <c r="F11" s="258"/>
      <c r="G11" s="255"/>
      <c r="H11" s="260">
        <f t="shared" si="0"/>
        <v>0</v>
      </c>
      <c r="I11" s="260">
        <f t="shared" si="1"/>
        <v>0</v>
      </c>
    </row>
    <row r="12" spans="2:9" ht="12.75">
      <c r="B12" s="267" t="s">
        <v>445</v>
      </c>
      <c r="C12" s="59" t="s">
        <v>59</v>
      </c>
      <c r="D12" s="170"/>
      <c r="E12" s="258">
        <v>-1584387.9462361438</v>
      </c>
      <c r="F12" s="258"/>
      <c r="G12" s="255">
        <v>0.9871833029502586</v>
      </c>
      <c r="H12" s="260">
        <f>E12*G12</f>
        <v>-1564081.3259199732</v>
      </c>
      <c r="I12" s="260">
        <f t="shared" si="1"/>
        <v>0</v>
      </c>
    </row>
    <row r="13" spans="2:9" ht="12.75">
      <c r="B13" s="267" t="s">
        <v>445</v>
      </c>
      <c r="C13" s="59" t="s">
        <v>68</v>
      </c>
      <c r="D13" s="170"/>
      <c r="E13" s="258">
        <v>-48325.51171014039</v>
      </c>
      <c r="F13" s="258"/>
      <c r="G13" s="255">
        <v>0.9873418870939915</v>
      </c>
      <c r="H13" s="260">
        <f t="shared" si="0"/>
        <v>-47713.80192667279</v>
      </c>
      <c r="I13" s="260">
        <f t="shared" si="1"/>
        <v>0</v>
      </c>
    </row>
    <row r="14" spans="2:9" ht="12.75">
      <c r="B14" s="267" t="s">
        <v>445</v>
      </c>
      <c r="C14" s="181" t="s">
        <v>134</v>
      </c>
      <c r="D14" s="170"/>
      <c r="E14" s="258">
        <v>-334921.5630946704</v>
      </c>
      <c r="F14" s="258"/>
      <c r="G14" s="255">
        <v>0.924529245634918</v>
      </c>
      <c r="H14" s="260">
        <f t="shared" si="0"/>
        <v>-309644.78007478325</v>
      </c>
      <c r="I14" s="260">
        <f t="shared" si="1"/>
        <v>0</v>
      </c>
    </row>
    <row r="15" spans="2:9" ht="25.5">
      <c r="B15" s="267" t="s">
        <v>445</v>
      </c>
      <c r="C15" s="181" t="s">
        <v>60</v>
      </c>
      <c r="D15" s="170"/>
      <c r="E15" s="258"/>
      <c r="F15" s="258"/>
      <c r="G15" s="255"/>
      <c r="H15" s="260">
        <f t="shared" si="0"/>
        <v>0</v>
      </c>
      <c r="I15" s="260">
        <f t="shared" si="1"/>
        <v>0</v>
      </c>
    </row>
    <row r="16" spans="2:9" ht="25.5">
      <c r="B16" s="267" t="s">
        <v>445</v>
      </c>
      <c r="C16" s="181" t="s">
        <v>0</v>
      </c>
      <c r="D16" s="170"/>
      <c r="E16" s="258"/>
      <c r="F16" s="258"/>
      <c r="G16" s="255"/>
      <c r="H16" s="260">
        <f t="shared" si="0"/>
        <v>0</v>
      </c>
      <c r="I16" s="260">
        <f t="shared" si="1"/>
        <v>0</v>
      </c>
    </row>
    <row r="17" spans="2:9" ht="12.75">
      <c r="B17" s="267" t="s">
        <v>445</v>
      </c>
      <c r="C17" s="59" t="s">
        <v>181</v>
      </c>
      <c r="D17" s="170"/>
      <c r="E17" s="259">
        <v>-1733447.9787069005</v>
      </c>
      <c r="F17" s="259">
        <v>0</v>
      </c>
      <c r="G17" s="256"/>
      <c r="H17" s="259">
        <f>SUM(H18:H35)</f>
        <v>-1678599.0567426037</v>
      </c>
      <c r="I17" s="259">
        <f>SUM(I18:I35)</f>
        <v>0</v>
      </c>
    </row>
    <row r="18" spans="2:9" ht="12.75">
      <c r="B18" s="267" t="s">
        <v>445</v>
      </c>
      <c r="C18" s="170" t="s">
        <v>232</v>
      </c>
      <c r="D18" s="170"/>
      <c r="E18" s="258"/>
      <c r="F18" s="258"/>
      <c r="G18" s="255"/>
      <c r="H18" s="260">
        <f t="shared" si="0"/>
        <v>0</v>
      </c>
      <c r="I18" s="260">
        <f t="shared" si="1"/>
        <v>0</v>
      </c>
    </row>
    <row r="19" spans="2:9" ht="12.75">
      <c r="B19" s="267" t="s">
        <v>445</v>
      </c>
      <c r="C19" s="170" t="s">
        <v>53</v>
      </c>
      <c r="D19" s="170"/>
      <c r="E19" s="258">
        <v>-185123.95506492155</v>
      </c>
      <c r="F19" s="258"/>
      <c r="G19" s="255">
        <v>0.9872997089790625</v>
      </c>
      <c r="H19" s="260">
        <f t="shared" si="0"/>
        <v>-182772.8269606501</v>
      </c>
      <c r="I19" s="260">
        <f t="shared" si="1"/>
        <v>0</v>
      </c>
    </row>
    <row r="20" spans="2:9" ht="12.75">
      <c r="B20" s="267" t="s">
        <v>445</v>
      </c>
      <c r="C20" s="170" t="s">
        <v>433</v>
      </c>
      <c r="D20" s="170"/>
      <c r="E20" s="258">
        <v>-401797.4609798745</v>
      </c>
      <c r="F20" s="258"/>
      <c r="G20" s="255">
        <v>0.9525479217313719</v>
      </c>
      <c r="H20" s="260">
        <f t="shared" si="0"/>
        <v>-382731.33641332143</v>
      </c>
      <c r="I20" s="260">
        <f t="shared" si="1"/>
        <v>0</v>
      </c>
    </row>
    <row r="21" spans="2:9" ht="12.75">
      <c r="B21" s="267" t="s">
        <v>445</v>
      </c>
      <c r="C21" s="170" t="s">
        <v>434</v>
      </c>
      <c r="D21" s="170"/>
      <c r="E21" s="258">
        <v>-101984.22289746255</v>
      </c>
      <c r="F21" s="258"/>
      <c r="G21" s="255">
        <v>0.9872959627956008</v>
      </c>
      <c r="H21" s="260">
        <f t="shared" si="0"/>
        <v>-100688.61153551145</v>
      </c>
      <c r="I21" s="260">
        <f t="shared" si="1"/>
        <v>0</v>
      </c>
    </row>
    <row r="22" spans="2:9" ht="12.75">
      <c r="B22" s="267" t="s">
        <v>445</v>
      </c>
      <c r="C22" s="170" t="s">
        <v>435</v>
      </c>
      <c r="D22" s="170"/>
      <c r="E22" s="258">
        <v>-600785.0607886829</v>
      </c>
      <c r="F22" s="258"/>
      <c r="G22" s="255">
        <v>0.9918485664205463</v>
      </c>
      <c r="H22" s="260">
        <f t="shared" si="0"/>
        <v>-595887.8012701359</v>
      </c>
      <c r="I22" s="260">
        <f t="shared" si="1"/>
        <v>0</v>
      </c>
    </row>
    <row r="23" spans="2:9" ht="12.75">
      <c r="B23" s="267" t="s">
        <v>445</v>
      </c>
      <c r="C23" s="170" t="s">
        <v>436</v>
      </c>
      <c r="D23" s="170"/>
      <c r="E23" s="258">
        <v>-443757.2789759589</v>
      </c>
      <c r="F23" s="258"/>
      <c r="G23" s="255">
        <v>0.9386177991810477</v>
      </c>
      <c r="H23" s="260">
        <f t="shared" si="0"/>
        <v>-416518.4805629847</v>
      </c>
      <c r="I23" s="260">
        <f t="shared" si="1"/>
        <v>0</v>
      </c>
    </row>
    <row r="24" spans="2:9" ht="12.75">
      <c r="B24" s="170"/>
      <c r="C24" s="170"/>
      <c r="D24" s="170"/>
      <c r="E24" s="258"/>
      <c r="F24" s="258"/>
      <c r="G24" s="255"/>
      <c r="H24" s="260">
        <f t="shared" si="0"/>
        <v>0</v>
      </c>
      <c r="I24" s="260">
        <f t="shared" si="1"/>
        <v>0</v>
      </c>
    </row>
    <row r="25" spans="2:9" ht="12.75">
      <c r="B25" s="170"/>
      <c r="C25" s="170"/>
      <c r="D25" s="170"/>
      <c r="E25" s="258"/>
      <c r="F25" s="258"/>
      <c r="G25" s="255"/>
      <c r="H25" s="260">
        <f t="shared" si="0"/>
        <v>0</v>
      </c>
      <c r="I25" s="260">
        <f t="shared" si="1"/>
        <v>0</v>
      </c>
    </row>
    <row r="26" spans="2:9" ht="12.75">
      <c r="B26" s="170"/>
      <c r="C26" s="170"/>
      <c r="D26" s="170"/>
      <c r="E26" s="258"/>
      <c r="F26" s="258"/>
      <c r="G26" s="255"/>
      <c r="H26" s="260">
        <f t="shared" si="0"/>
        <v>0</v>
      </c>
      <c r="I26" s="260">
        <f t="shared" si="1"/>
        <v>0</v>
      </c>
    </row>
    <row r="27" spans="2:9" ht="12.75">
      <c r="B27" s="170"/>
      <c r="C27" s="170"/>
      <c r="D27" s="170"/>
      <c r="E27" s="258"/>
      <c r="F27" s="258"/>
      <c r="G27" s="255"/>
      <c r="H27" s="260">
        <f t="shared" si="0"/>
        <v>0</v>
      </c>
      <c r="I27" s="260">
        <f t="shared" si="1"/>
        <v>0</v>
      </c>
    </row>
    <row r="28" spans="2:9" ht="12.75">
      <c r="B28" s="170"/>
      <c r="C28" s="170"/>
      <c r="D28" s="170"/>
      <c r="E28" s="258"/>
      <c r="F28" s="258"/>
      <c r="G28" s="255"/>
      <c r="H28" s="260">
        <f t="shared" si="0"/>
        <v>0</v>
      </c>
      <c r="I28" s="260">
        <f t="shared" si="1"/>
        <v>0</v>
      </c>
    </row>
    <row r="29" spans="2:9" ht="12.75">
      <c r="B29" s="170"/>
      <c r="C29" s="170"/>
      <c r="D29" s="170"/>
      <c r="E29" s="258"/>
      <c r="F29" s="258"/>
      <c r="G29" s="255"/>
      <c r="H29" s="260">
        <f t="shared" si="0"/>
        <v>0</v>
      </c>
      <c r="I29" s="260">
        <f t="shared" si="1"/>
        <v>0</v>
      </c>
    </row>
    <row r="30" spans="2:9" ht="12.75">
      <c r="B30" s="170"/>
      <c r="C30" s="170"/>
      <c r="D30" s="170"/>
      <c r="E30" s="258"/>
      <c r="F30" s="258"/>
      <c r="G30" s="255"/>
      <c r="H30" s="260">
        <f t="shared" si="0"/>
        <v>0</v>
      </c>
      <c r="I30" s="260">
        <f t="shared" si="1"/>
        <v>0</v>
      </c>
    </row>
    <row r="31" spans="2:9" ht="12.75">
      <c r="B31" s="170"/>
      <c r="C31" s="170"/>
      <c r="D31" s="170"/>
      <c r="E31" s="258"/>
      <c r="F31" s="258"/>
      <c r="G31" s="255"/>
      <c r="H31" s="260">
        <f t="shared" si="0"/>
        <v>0</v>
      </c>
      <c r="I31" s="260">
        <f t="shared" si="1"/>
        <v>0</v>
      </c>
    </row>
    <row r="32" spans="2:9" ht="12.75">
      <c r="B32" s="170"/>
      <c r="C32" s="170"/>
      <c r="D32" s="170"/>
      <c r="E32" s="258"/>
      <c r="F32" s="258"/>
      <c r="G32" s="255"/>
      <c r="H32" s="260">
        <f t="shared" si="0"/>
        <v>0</v>
      </c>
      <c r="I32" s="260">
        <f t="shared" si="1"/>
        <v>0</v>
      </c>
    </row>
    <row r="33" spans="2:9" ht="12.75">
      <c r="B33" s="170"/>
      <c r="C33" s="170"/>
      <c r="D33" s="170"/>
      <c r="E33" s="258"/>
      <c r="F33" s="258"/>
      <c r="G33" s="255"/>
      <c r="H33" s="260">
        <f t="shared" si="0"/>
        <v>0</v>
      </c>
      <c r="I33" s="260">
        <f t="shared" si="1"/>
        <v>0</v>
      </c>
    </row>
    <row r="34" spans="2:9" ht="12.75">
      <c r="B34" s="170"/>
      <c r="C34" s="170"/>
      <c r="D34" s="170"/>
      <c r="E34" s="258"/>
      <c r="F34" s="258"/>
      <c r="G34" s="255"/>
      <c r="H34" s="260">
        <f t="shared" si="0"/>
        <v>0</v>
      </c>
      <c r="I34" s="260">
        <f t="shared" si="1"/>
        <v>0</v>
      </c>
    </row>
    <row r="35" spans="2:9" ht="12.75">
      <c r="B35" s="170"/>
      <c r="C35" s="170"/>
      <c r="D35" s="170"/>
      <c r="E35" s="258"/>
      <c r="F35" s="258"/>
      <c r="G35" s="255"/>
      <c r="H35" s="260">
        <f t="shared" si="0"/>
        <v>0</v>
      </c>
      <c r="I35" s="260">
        <f t="shared" si="1"/>
        <v>0</v>
      </c>
    </row>
    <row r="36" spans="2:9" ht="12.75">
      <c r="B36" s="103"/>
      <c r="C36" s="399" t="s">
        <v>135</v>
      </c>
      <c r="D36" s="400"/>
      <c r="E36" s="260">
        <f>SUM(E9:E17)</f>
        <v>-4607449.224623198</v>
      </c>
      <c r="F36" s="260">
        <f>SUM(F9:F17)</f>
        <v>0</v>
      </c>
      <c r="G36" s="257"/>
      <c r="H36" s="260">
        <f>SUM(H9:H17)</f>
        <v>-4504236.875560174</v>
      </c>
      <c r="I36" s="260">
        <f>SUM(I9:I35)</f>
        <v>0</v>
      </c>
    </row>
  </sheetData>
  <sheetProtection/>
  <mergeCells count="2">
    <mergeCell ref="B1:C1"/>
    <mergeCell ref="C36:D36"/>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Lisa Foo</cp:lastModifiedBy>
  <cp:lastPrinted>2017-11-25T22:15:53Z</cp:lastPrinted>
  <dcterms:created xsi:type="dcterms:W3CDTF">2012-02-16T03:44:14Z</dcterms:created>
  <dcterms:modified xsi:type="dcterms:W3CDTF">2023-04-23T23:18:52Z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